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khar\Desktop\"/>
    </mc:Choice>
  </mc:AlternateContent>
  <bookViews>
    <workbookView xWindow="0" yWindow="0" windowWidth="11220" windowHeight="8520"/>
  </bookViews>
  <sheets>
    <sheet name="reopen" sheetId="1" r:id="rId1"/>
    <sheet name="description" sheetId="3" r:id="rId2"/>
    <sheet name="stats"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 l="1"/>
  <c r="K10" i="1"/>
  <c r="K11" i="1" s="1"/>
  <c r="K12" i="1" s="1"/>
  <c r="K13" i="1" s="1"/>
  <c r="K14" i="1" s="1"/>
  <c r="K15" i="1" s="1"/>
  <c r="K16" i="1" s="1"/>
  <c r="K17" i="1" s="1"/>
  <c r="K18" i="1" s="1"/>
  <c r="K19" i="1" s="1"/>
  <c r="K20" i="1" s="1"/>
  <c r="K21" i="1" s="1"/>
  <c r="K22" i="1" s="1"/>
  <c r="K23" i="1" s="1"/>
  <c r="K24" i="1" s="1"/>
  <c r="K25" i="1" s="1"/>
  <c r="K26" i="1" s="1"/>
  <c r="G10" i="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G45" i="1" s="1"/>
  <c r="G46" i="1" s="1"/>
  <c r="G47" i="1" s="1"/>
  <c r="G48" i="1" s="1"/>
  <c r="G49" i="1" s="1"/>
  <c r="G50" i="1" s="1"/>
  <c r="G51" i="1" s="1"/>
  <c r="G52" i="1" s="1"/>
  <c r="G53" i="1" s="1"/>
  <c r="G54" i="1" s="1"/>
  <c r="G55" i="1" s="1"/>
  <c r="G56" i="1" s="1"/>
  <c r="G57" i="1" s="1"/>
  <c r="E10" i="1"/>
  <c r="E11" i="1" s="1"/>
  <c r="E12" i="1" s="1"/>
  <c r="E13" i="1" s="1"/>
  <c r="E14"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C10" i="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K27" i="1"/>
  <c r="C58" i="1" l="1"/>
  <c r="G58" i="1"/>
  <c r="E58" i="1"/>
  <c r="G2" i="1"/>
  <c r="B3" i="1"/>
  <c r="J2" i="1"/>
  <c r="H2" i="1"/>
  <c r="K28" i="1"/>
  <c r="B2" i="1" l="1"/>
  <c r="K29" i="1"/>
  <c r="I2" i="1" l="1"/>
  <c r="K30" i="1"/>
  <c r="P5" i="1" l="1"/>
  <c r="P4" i="1"/>
  <c r="P3" i="1"/>
  <c r="P2" i="1"/>
  <c r="K31" i="1"/>
  <c r="A3" i="1" l="1"/>
  <c r="K32" i="1"/>
  <c r="F10" i="1" l="1"/>
  <c r="J10" i="1"/>
  <c r="D10" i="1"/>
  <c r="L10" i="1"/>
  <c r="L11" i="1"/>
  <c r="H10" i="1"/>
  <c r="F11" i="1"/>
  <c r="F13" i="1"/>
  <c r="F12" i="1"/>
  <c r="K33" i="1"/>
  <c r="H13" i="1" l="1"/>
  <c r="D11" i="1"/>
  <c r="D13" i="1"/>
  <c r="D12" i="1"/>
  <c r="H11" i="1"/>
  <c r="H12" i="1"/>
  <c r="F14" i="1"/>
  <c r="D14" i="1"/>
  <c r="H14" i="1"/>
  <c r="F15" i="1"/>
  <c r="K34" i="1"/>
  <c r="L12" i="1" l="1"/>
  <c r="D15" i="1"/>
  <c r="F16" i="1"/>
  <c r="D16" i="1"/>
  <c r="H15" i="1"/>
  <c r="L13" i="1"/>
  <c r="K35" i="1"/>
  <c r="F17" i="1" l="1"/>
  <c r="D17" i="1"/>
  <c r="H16" i="1"/>
  <c r="L14" i="1"/>
  <c r="K36" i="1"/>
  <c r="H17" i="1" l="1"/>
  <c r="F18" i="1"/>
  <c r="D18" i="1"/>
  <c r="L15" i="1"/>
  <c r="K37" i="1"/>
  <c r="F19" i="1" l="1"/>
  <c r="D19" i="1"/>
  <c r="H18" i="1"/>
  <c r="L16" i="1"/>
  <c r="K38" i="1"/>
  <c r="H19" i="1" l="1"/>
  <c r="F20" i="1"/>
  <c r="D20" i="1"/>
  <c r="L17" i="1"/>
  <c r="K39" i="1"/>
  <c r="H20" i="1" l="1"/>
  <c r="F21" i="1"/>
  <c r="D21" i="1"/>
  <c r="L18" i="1"/>
  <c r="K40" i="1"/>
  <c r="H21" i="1" l="1"/>
  <c r="D22" i="1"/>
  <c r="F22" i="1"/>
  <c r="L19" i="1"/>
  <c r="K41" i="1"/>
  <c r="H22" i="1" l="1"/>
  <c r="D23" i="1"/>
  <c r="F23" i="1"/>
  <c r="L20" i="1"/>
  <c r="K42" i="1"/>
  <c r="F24" i="1" l="1"/>
  <c r="D24" i="1"/>
  <c r="H23" i="1"/>
  <c r="L21" i="1"/>
  <c r="K43" i="1"/>
  <c r="F25" i="1" l="1"/>
  <c r="D25" i="1"/>
  <c r="H24" i="1"/>
  <c r="L22" i="1"/>
  <c r="K44" i="1"/>
  <c r="H25" i="1" l="1"/>
  <c r="F26" i="1"/>
  <c r="D26" i="1"/>
  <c r="L23" i="1"/>
  <c r="K45" i="1"/>
  <c r="D27" i="1" l="1"/>
  <c r="H26" i="1"/>
  <c r="F27" i="1"/>
  <c r="L24" i="1"/>
  <c r="K46" i="1"/>
  <c r="H27" i="1" l="1"/>
  <c r="F28" i="1"/>
  <c r="D28" i="1"/>
  <c r="L25" i="1"/>
  <c r="K47" i="1"/>
  <c r="H28" i="1" l="1"/>
  <c r="D29" i="1"/>
  <c r="F29" i="1"/>
  <c r="L26" i="1"/>
  <c r="K48" i="1"/>
  <c r="F30" i="1" l="1"/>
  <c r="H29" i="1"/>
  <c r="D30" i="1"/>
  <c r="L27" i="1"/>
  <c r="K49" i="1"/>
  <c r="D31" i="1" l="1"/>
  <c r="F31" i="1"/>
  <c r="H30" i="1"/>
  <c r="K50" i="1"/>
  <c r="H31" i="1" l="1"/>
  <c r="D32" i="1"/>
  <c r="F32" i="1"/>
  <c r="K51" i="1"/>
  <c r="F33" i="1" l="1"/>
  <c r="H32" i="1"/>
  <c r="D33" i="1"/>
  <c r="K52" i="1"/>
  <c r="F34" i="1" l="1"/>
  <c r="H33" i="1"/>
  <c r="D34" i="1"/>
  <c r="K53" i="1"/>
  <c r="D35" i="1" l="1"/>
  <c r="F35" i="1"/>
  <c r="H34" i="1"/>
  <c r="K54" i="1"/>
  <c r="H35" i="1" l="1"/>
  <c r="D36" i="1"/>
  <c r="F36" i="1"/>
  <c r="K55" i="1"/>
  <c r="H36" i="1" l="1"/>
  <c r="D37" i="1"/>
  <c r="F37" i="1"/>
  <c r="K56" i="1"/>
  <c r="F38" i="1" l="1"/>
  <c r="H37" i="1"/>
  <c r="D38" i="1"/>
  <c r="K57" i="1"/>
  <c r="D39" i="1" l="1"/>
  <c r="F39" i="1"/>
  <c r="H38" i="1"/>
  <c r="D40" i="1" l="1"/>
  <c r="H39" i="1"/>
  <c r="F40" i="1"/>
  <c r="D41" i="1" l="1"/>
  <c r="F41" i="1"/>
  <c r="H40" i="1"/>
  <c r="H41" i="1" l="1"/>
  <c r="F42" i="1"/>
  <c r="D42" i="1"/>
  <c r="D43" i="1" l="1"/>
  <c r="H42" i="1"/>
  <c r="F43" i="1"/>
  <c r="F44" i="1" l="1"/>
  <c r="D44" i="1"/>
  <c r="H43" i="1"/>
  <c r="D45" i="1" l="1"/>
  <c r="H44" i="1"/>
  <c r="F45" i="1"/>
  <c r="H45" i="1" l="1"/>
  <c r="F46" i="1"/>
  <c r="D46" i="1"/>
  <c r="F47" i="1" l="1"/>
  <c r="D47" i="1"/>
  <c r="H46" i="1"/>
  <c r="D48" i="1" l="1"/>
  <c r="H47" i="1"/>
  <c r="F48" i="1"/>
  <c r="H48" i="1" l="1"/>
  <c r="D49" i="1"/>
  <c r="F49" i="1"/>
  <c r="D50" i="1" l="1"/>
  <c r="H49" i="1"/>
  <c r="F50" i="1"/>
  <c r="H50" i="1" l="1"/>
  <c r="D51" i="1"/>
  <c r="F51" i="1"/>
  <c r="D52" i="1" l="1"/>
  <c r="H51" i="1"/>
  <c r="F52" i="1"/>
  <c r="H52" i="1" l="1"/>
  <c r="D53" i="1"/>
  <c r="F53" i="1"/>
  <c r="D54" i="1" l="1"/>
  <c r="H53" i="1"/>
  <c r="F54" i="1"/>
  <c r="H54" i="1" l="1"/>
  <c r="D55" i="1"/>
  <c r="F55" i="1"/>
  <c r="D56" i="1" l="1"/>
  <c r="H55" i="1"/>
  <c r="F56" i="1"/>
  <c r="H56" i="1" l="1"/>
  <c r="D57" i="1"/>
  <c r="F57" i="1"/>
  <c r="D58" i="1" l="1"/>
  <c r="H57" i="1"/>
  <c r="F58" i="1"/>
  <c r="H58" i="1" l="1"/>
  <c r="L5" i="1" l="1"/>
  <c r="J5" i="1"/>
  <c r="K5" i="1" l="1"/>
  <c r="I5" i="1"/>
  <c r="I10" i="1" s="1"/>
  <c r="I11" i="1" s="1"/>
  <c r="I12" i="1" s="1"/>
  <c r="I13" i="1" s="1"/>
  <c r="I14" i="1" s="1"/>
  <c r="I15" i="1" s="1"/>
  <c r="I16" i="1" s="1"/>
  <c r="I17" i="1" s="1"/>
  <c r="I18" i="1" s="1"/>
  <c r="I19" i="1" s="1"/>
  <c r="I20" i="1" s="1"/>
  <c r="I21" i="1" s="1"/>
  <c r="I22" i="1" s="1"/>
  <c r="I23" i="1" s="1"/>
  <c r="I24" i="1" s="1"/>
  <c r="I25" i="1" s="1"/>
  <c r="I26" i="1" s="1"/>
  <c r="I27" i="1"/>
  <c r="J11" i="1" l="1"/>
  <c r="A11" i="1"/>
  <c r="A12" i="1" s="1"/>
  <c r="B10" i="1"/>
  <c r="I28" i="1"/>
  <c r="J12" i="1" l="1"/>
  <c r="B12" i="1"/>
  <c r="A13" i="1"/>
  <c r="B11" i="1"/>
  <c r="I29" i="1"/>
  <c r="J13" i="1" l="1"/>
  <c r="B13" i="1"/>
  <c r="A14" i="1"/>
  <c r="I30" i="1"/>
  <c r="J14" i="1" l="1"/>
  <c r="B14" i="1"/>
  <c r="A15" i="1"/>
  <c r="I31" i="1"/>
  <c r="J15" i="1" l="1"/>
  <c r="B15" i="1"/>
  <c r="A16" i="1"/>
  <c r="I32" i="1"/>
  <c r="J16" i="1" l="1"/>
  <c r="B16" i="1"/>
  <c r="A17" i="1"/>
  <c r="I33" i="1"/>
  <c r="J17" i="1" l="1"/>
  <c r="B17" i="1"/>
  <c r="A18" i="1"/>
  <c r="I34" i="1"/>
  <c r="J18" i="1" l="1"/>
  <c r="A19" i="1"/>
  <c r="B18" i="1"/>
  <c r="I35" i="1"/>
  <c r="J19" i="1" l="1"/>
  <c r="B19" i="1"/>
  <c r="A20" i="1"/>
  <c r="I36" i="1"/>
  <c r="J20" i="1" l="1"/>
  <c r="B20" i="1"/>
  <c r="A21" i="1"/>
  <c r="I37" i="1"/>
  <c r="J21" i="1" l="1"/>
  <c r="B21" i="1"/>
  <c r="A22" i="1"/>
  <c r="I38" i="1"/>
  <c r="J22" i="1" l="1"/>
  <c r="B22" i="1"/>
  <c r="A23" i="1"/>
  <c r="I39" i="1"/>
  <c r="J23" i="1" l="1"/>
  <c r="B23" i="1"/>
  <c r="A24" i="1"/>
  <c r="I40" i="1"/>
  <c r="J24" i="1" l="1"/>
  <c r="B24" i="1"/>
  <c r="A25" i="1"/>
  <c r="I41" i="1"/>
  <c r="J25" i="1" l="1"/>
  <c r="B25" i="1"/>
  <c r="A26" i="1"/>
  <c r="I42" i="1"/>
  <c r="J26" i="1" l="1"/>
  <c r="B26" i="1"/>
  <c r="A27" i="1"/>
  <c r="I43" i="1"/>
  <c r="L28" i="1" l="1"/>
  <c r="J28" i="1"/>
  <c r="J27" i="1"/>
  <c r="B27" i="1"/>
  <c r="A28" i="1"/>
  <c r="I44" i="1"/>
  <c r="L29" i="1" l="1"/>
  <c r="J29" i="1"/>
  <c r="B28" i="1"/>
  <c r="A29" i="1"/>
  <c r="I45" i="1"/>
  <c r="L30" i="1" l="1"/>
  <c r="J30" i="1"/>
  <c r="B29" i="1"/>
  <c r="A30" i="1"/>
  <c r="I46" i="1"/>
  <c r="L31" i="1" l="1"/>
  <c r="J31" i="1"/>
  <c r="A31" i="1"/>
  <c r="B30" i="1"/>
  <c r="I47" i="1"/>
  <c r="L32" i="1" l="1"/>
  <c r="J32" i="1"/>
  <c r="B31" i="1"/>
  <c r="A32" i="1"/>
  <c r="I48" i="1"/>
  <c r="L33" i="1" l="1"/>
  <c r="J33" i="1"/>
  <c r="B32" i="1"/>
  <c r="A33" i="1"/>
  <c r="I49" i="1"/>
  <c r="L34" i="1" l="1"/>
  <c r="J34" i="1"/>
  <c r="B33" i="1"/>
  <c r="A34" i="1"/>
  <c r="I50" i="1"/>
  <c r="L35" i="1" l="1"/>
  <c r="J35" i="1"/>
  <c r="B34" i="1"/>
  <c r="A35" i="1"/>
  <c r="I51" i="1"/>
  <c r="L36" i="1" l="1"/>
  <c r="J36" i="1"/>
  <c r="B35" i="1"/>
  <c r="A36" i="1"/>
  <c r="I52" i="1"/>
  <c r="L37" i="1" l="1"/>
  <c r="J37" i="1"/>
  <c r="A37" i="1"/>
  <c r="B36" i="1"/>
  <c r="I53" i="1"/>
  <c r="L38" i="1" l="1"/>
  <c r="J38" i="1"/>
  <c r="B37" i="1"/>
  <c r="A38" i="1"/>
  <c r="I54" i="1"/>
  <c r="L39" i="1" l="1"/>
  <c r="J39" i="1"/>
  <c r="B38" i="1"/>
  <c r="A39" i="1"/>
  <c r="I55" i="1"/>
  <c r="L40" i="1" l="1"/>
  <c r="J40" i="1"/>
  <c r="B39" i="1"/>
  <c r="A40" i="1"/>
  <c r="I56" i="1"/>
  <c r="L41" i="1" l="1"/>
  <c r="J41" i="1"/>
  <c r="B40" i="1"/>
  <c r="A41" i="1"/>
  <c r="I57" i="1"/>
  <c r="L42" i="1" l="1"/>
  <c r="J42" i="1"/>
  <c r="B41" i="1"/>
  <c r="A42" i="1"/>
  <c r="I58" i="1"/>
  <c r="L43" i="1" l="1"/>
  <c r="J43" i="1"/>
  <c r="A43" i="1"/>
  <c r="B42" i="1"/>
  <c r="L44" i="1" l="1"/>
  <c r="J44" i="1"/>
  <c r="B43" i="1"/>
  <c r="A44" i="1"/>
  <c r="L45" i="1" l="1"/>
  <c r="J45" i="1"/>
  <c r="B44" i="1"/>
  <c r="A45" i="1"/>
  <c r="L46" i="1" l="1"/>
  <c r="J46" i="1"/>
  <c r="B45" i="1"/>
  <c r="A46" i="1"/>
  <c r="L47" i="1" l="1"/>
  <c r="J47" i="1"/>
  <c r="B46" i="1"/>
  <c r="A47" i="1"/>
  <c r="L48" i="1" l="1"/>
  <c r="J48" i="1"/>
  <c r="B47" i="1"/>
  <c r="A48" i="1"/>
  <c r="L49" i="1" l="1"/>
  <c r="J49" i="1"/>
  <c r="A49" i="1"/>
  <c r="B48" i="1"/>
  <c r="L50" i="1" l="1"/>
  <c r="J50" i="1"/>
  <c r="B49" i="1"/>
  <c r="A50" i="1"/>
  <c r="L51" i="1" l="1"/>
  <c r="J51" i="1"/>
  <c r="B50" i="1"/>
  <c r="A51" i="1"/>
  <c r="L52" i="1" l="1"/>
  <c r="J52" i="1"/>
  <c r="B51" i="1"/>
  <c r="A52" i="1"/>
  <c r="L53" i="1" l="1"/>
  <c r="J53" i="1"/>
  <c r="B52" i="1"/>
  <c r="A53" i="1"/>
  <c r="L54" i="1" l="1"/>
  <c r="J54" i="1"/>
  <c r="B53" i="1"/>
  <c r="A54" i="1"/>
  <c r="L55" i="1" l="1"/>
  <c r="J55" i="1"/>
  <c r="A55" i="1"/>
  <c r="B54" i="1"/>
  <c r="L56" i="1" l="1"/>
  <c r="J56" i="1"/>
  <c r="B55" i="1"/>
  <c r="A56" i="1"/>
  <c r="L57" i="1" l="1"/>
  <c r="J57" i="1"/>
  <c r="B56" i="1"/>
  <c r="A57" i="1"/>
  <c r="K58" i="1"/>
  <c r="L58" i="1" l="1"/>
  <c r="J58" i="1"/>
  <c r="J7" i="1" s="1"/>
  <c r="B57" i="1"/>
  <c r="A58" i="1"/>
  <c r="B58" i="1" s="1"/>
  <c r="I7" i="1" l="1"/>
  <c r="L7" i="1"/>
  <c r="K7" i="1" l="1"/>
  <c r="C7" i="1"/>
  <c r="D7" i="1"/>
  <c r="G7" i="1"/>
  <c r="H7" i="1"/>
  <c r="E7" i="1"/>
  <c r="F7" i="1"/>
</calcChain>
</file>

<file path=xl/sharedStrings.xml><?xml version="1.0" encoding="utf-8"?>
<sst xmlns="http://schemas.openxmlformats.org/spreadsheetml/2006/main" count="178" uniqueCount="159">
  <si>
    <t>Trump, No Vaccine</t>
  </si>
  <si>
    <t>Cuomo, No Vaccine</t>
  </si>
  <si>
    <t>Cuomo, with Vaccine</t>
  </si>
  <si>
    <t>Total from Below</t>
  </si>
  <si>
    <t>Cycle #</t>
  </si>
  <si>
    <t>Months</t>
  </si>
  <si>
    <t>The given numbers in yellow are for illustrative purposes.</t>
  </si>
  <si>
    <t>The numbers in yellow are to play with to see the effects of various parameters on infections and deaths.</t>
  </si>
  <si>
    <t>Trump, with Vaccine</t>
  </si>
  <si>
    <t>NA</t>
  </si>
  <si>
    <t>The key formulas are in columns C:L, but it is enough to understand E, F and K (the others are similar to 1 of the 3, with different factors).</t>
  </si>
  <si>
    <t xml:space="preserve">      adding up E10:E14 gives the total new infections, dividing which by the population gives the post-zero infected fraction.</t>
  </si>
  <si>
    <t xml:space="preserve">      and further reduced by the post-vaccine infected fraction.</t>
  </si>
  <si>
    <t>The formula begins as for E15; the uninfected fraction at vaccine-date gets scaled by the unimmunized fraction</t>
  </si>
  <si>
    <t>New Infns</t>
  </si>
  <si>
    <t>Deaths</t>
  </si>
  <si>
    <t>Case Mortality Fraction (0.01 is 1%)</t>
  </si>
  <si>
    <t>Vaccine Efficacy (0.5 is 50%)</t>
  </si>
  <si>
    <t>All comments and criticisms are appreciated - sekhar@caa.columbia.edu, janakdaniel@gmail.com</t>
  </si>
  <si>
    <t>While “Trump” and “Cuomo” are US references and the numbers used in the illustration are representative of the US situation, the spreadsheet can be used for any place by altering the values in yellow.</t>
  </si>
  <si>
    <t>http://columbia.edu/~jls106/yamana_etal_reopening_projections.pdf </t>
  </si>
  <si>
    <t>All comments and criticisms are appreciated –</t>
  </si>
  <si>
    <t>Change values in yellow cells to try</t>
  </si>
  <si>
    <t>Here is the explanation for E15, F15, K15 and K36 (the formulas are the same at each cycle after the first):</t>
  </si>
  <si>
    <t>K15 and K36 are even more complex. But, if no vaccine is available early on, K15 is the same as E15.</t>
  </si>
  <si>
    <t>If a vaccine is available before K36 (13 months), the formula in K36 becomes</t>
  </si>
  <si>
    <t>Merkel, No Vaccine</t>
  </si>
  <si>
    <t>A Simple Model to Explore Infections and Deaths under Different Reopening Policies</t>
  </si>
  <si>
    <t>The model expresses the following understanding:</t>
  </si>
  <si>
    <t>There are five simulations shown – Trump, Cuomo and Merkel all without a vaccine; Trump and Cuomo with a vaccine available in 8 months (the date can be changed). The take-aways:</t>
  </si>
  <si>
    <t>(2) Deaths under Trump are many times the deaths under Cuomo;</t>
  </si>
  <si>
    <t>The case mortality fraction for the US is uncertain in the absence of reliable mass screening data on prevalence; we find that changing it results in a proportionate change in total deaths, without affecting policy comparisons.</t>
  </si>
  <si>
    <t>Formulas explained below, Write-up in next tab</t>
  </si>
  <si>
    <t>Trump, novax</t>
  </si>
  <si>
    <t>Cuomo, novax</t>
  </si>
  <si>
    <t>Merkel, novax</t>
  </si>
  <si>
    <t>Trump+vax</t>
  </si>
  <si>
    <t>Cuomo+vax</t>
  </si>
  <si>
    <t>Vax when (mo), Fraction vaccinated</t>
  </si>
  <si>
    <t>Region Simulations Are for</t>
  </si>
  <si>
    <t>Total Population (from Tab 3)</t>
  </si>
  <si>
    <t>No. of Deaths until Reopen (from Tab 3)</t>
  </si>
  <si>
    <t>Select US or 2-letter State</t>
  </si>
  <si>
    <t>US</t>
  </si>
  <si>
    <t>15-day death count expected in first cycle (Tab 3)</t>
  </si>
  <si>
    <t>US/State</t>
  </si>
  <si>
    <t xml:space="preserve">Total Population </t>
  </si>
  <si>
    <t xml:space="preserve">No. of Deaths until Reopen </t>
  </si>
  <si>
    <t xml:space="preserve">Daily death rate expected in first cycle </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</si>
  <si>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</si>
  <si>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</si>
  <si>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</si>
  <si>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</si>
  <si>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</si>
  <si>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</si>
  <si>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</si>
  <si>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</si>
  <si>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</si>
  <si>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</si>
  <si>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</si>
  <si>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</si>
  <si>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</si>
  <si>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</si>
  <si>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</si>
  <si>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</si>
  <si>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</si>
  <si>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</si>
  <si>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</si>
  <si>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</si>
  <si>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</si>
  <si>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</si>
  <si>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</si>
  <si>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</si>
  <si>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</si>
  <si>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</si>
  <si>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</si>
  <si>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</si>
  <si>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</si>
  <si>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</si>
  <si>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</si>
  <si>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</si>
  <si>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</si>
  <si>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</si>
  <si>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</si>
  <si>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</si>
  <si>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</si>
  <si>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</si>
  <si>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</si>
  <si>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PR</t>
  </si>
  <si>
    <t>RI</t>
  </si>
  <si>
    <t>SC</t>
  </si>
  <si>
    <t>SD</t>
  </si>
  <si>
    <t>TN</t>
  </si>
  <si>
    <t>TX</t>
  </si>
  <si>
    <t>UT</t>
  </si>
  <si>
    <t>VT</t>
  </si>
  <si>
    <t>VA</t>
  </si>
  <si>
    <t>WA</t>
  </si>
  <si>
    <t>WV</t>
  </si>
  <si>
    <t>WI</t>
  </si>
  <si>
    <t>WY</t>
  </si>
  <si>
    <t>States' population data from https://worldpopulationreview.com/states/</t>
  </si>
  <si>
    <t>https://data.cdc.gov/NCHS/Weekly-Counts-of-Deaths-by-State-and-Select-Causes/muzy-jte6</t>
  </si>
  <si>
    <t>States' death data (through May 16 2020, released around May 28) from</t>
  </si>
  <si>
    <t>Daily death rate estimated from week ending 5/16, set to 1 if zero.</t>
  </si>
  <si>
    <t>The seven  major parameters to play with are:</t>
  </si>
  <si>
    <t>a) specific population to look at: US or any state;</t>
  </si>
  <si>
    <t>(5) Deaths under Cuomo are still many times the deaths under Merkel, which wipes out the virus even without a vaccine, with a fraction of the deaths under the other policies (and the reason why there is no simulation of Merkel with a vaccine);</t>
  </si>
  <si>
    <t>(3) The vaccine is of little help to Trump because most of his deaths take place before vaccine availability, and the virus disappears due to herd immunity from nearly everyone getting infected;</t>
  </si>
  <si>
    <t>(4) By keeping the curve flat, Cuomo saves many lives when a vaccine becomes available, and the virus disappears due to herd immunity from vaccination;</t>
  </si>
  <si>
    <t>A3 is # Infectious at Reopen = I2/C2; B3 is Fraction with Antibodies at Reopen = (H2/C2)/J2</t>
  </si>
  <si>
    <t>Rt multiplier for warm cycles</t>
  </si>
  <si>
    <t>No. of initial warm cycles</t>
  </si>
  <si>
    <t>E15=E14*E$5*(IF(ROW()&gt;9+$F$2,1,$E$2))*(1-$B$3-SUM(E$10:E14)/$J$2) is more complex: E14 has to be multiplied by the current Rt.</t>
  </si>
  <si>
    <t xml:space="preserve">              scaled by the current susceptible fraction of the population (e.g., if half the population is already infected, Rt has to be halved).</t>
  </si>
  <si>
    <t xml:space="preserve">      1-B3 is the initial uninfected fraction; </t>
  </si>
  <si>
    <t>F15 is easy: =$C$2*E14, which is the case mortality fraction C2 times the New Infections in the previous cycle (E14 also used below).</t>
  </si>
  <si>
    <t xml:space="preserve">           (L6*D2 is the fraction vaccinated times vaccine efficacy),</t>
  </si>
  <si>
    <t>K36=K35*K$5*(1-$B$3-SUM(K$10:INDIRECT("K"&amp;(L$5-1)))/$J$2)*(1-L$6*$D$2)-SUM(INDIRECT("K"&amp;L$5):K35)/$J$2</t>
  </si>
  <si>
    <t>For viewing ease, the graphs obstruct much of the data they depict, but can be moved out of the way to view the numbers in the tables changing as you alter any parameter.</t>
  </si>
  <si>
    <t>We hope our simple model, while easy to understand and explore with our spreadsheet, is consistent with the better, more complex models.</t>
  </si>
  <si>
    <t>The model is simple (perhaps simplistic) and may fail to fit actual data for a variety of reasons:</t>
  </si>
  <si>
    <t xml:space="preserve">Current version of Excel spreadsheet is at </t>
  </si>
  <si>
    <t>http://biomath.net/virus/simple-covid19-reopening-model.xlsx</t>
  </si>
  <si>
    <t xml:space="preserve">Sheets users should click below to get Sheets copy: </t>
  </si>
  <si>
    <t>https://docs.google.com/spreadsheets/d/1rX0tGLlS_0_HtSjVEmNzUOgwqxxLkflYcHGSClALrRM/copy</t>
  </si>
  <si>
    <t>c) the number of initial warm (15-day) cycles (8),</t>
  </si>
  <si>
    <t>e) vaccine availability date (8 months),</t>
  </si>
  <si>
    <t>f) fraction that gets vaccinated (1.0 ie 100%),</t>
  </si>
  <si>
    <t>g) vaccine efficacy (0.5 ie 50%), and</t>
  </si>
  <si>
    <t>h) the case mortality fraction (0.01 ie 1%).</t>
  </si>
  <si>
    <t>The six parameters (b to g) are set to our best guesses; you are encouraged to try values you think reasonable or worth exploring.</t>
  </si>
  <si>
    <t>In sum, then, our spreadsheet tool is meant to help understand the basic principles of virus propagation and the likely consequences of different government policies as well as vaccine availability.</t>
  </si>
  <si>
    <r>
      <t xml:space="preserve">(d) The number of deaths during any cycle is a fixed fraction, termed </t>
    </r>
    <r>
      <rPr>
        <b/>
        <sz val="11"/>
        <color theme="1"/>
        <rFont val="Calibri"/>
        <family val="2"/>
        <scheme val="minor"/>
      </rPr>
      <t>case mortality fraction (0.01 ie 1%</t>
    </r>
    <r>
      <rPr>
        <sz val="11"/>
        <color theme="1"/>
        <rFont val="Calibri"/>
        <family val="2"/>
        <scheme val="minor"/>
      </rPr>
      <t xml:space="preserve"> in our illustration), of the new infections in the previous cycle.</t>
    </r>
  </si>
  <si>
    <t>(e) While deaths from Covid-19 take place over a wide range of days following infection, all deaths from an infection are put in the next 15-day cycle.</t>
  </si>
  <si>
    <r>
      <t xml:space="preserve">(f) When a vaccine becomes available, </t>
    </r>
    <r>
      <rPr>
        <b/>
        <sz val="11"/>
        <color theme="1"/>
        <rFont val="Calibri"/>
        <family val="2"/>
        <scheme val="minor"/>
      </rPr>
      <t>vaccination is instantaneous</t>
    </r>
    <r>
      <rPr>
        <sz val="11"/>
        <color theme="1"/>
        <rFont val="Calibri"/>
        <family val="2"/>
        <scheme val="minor"/>
      </rPr>
      <t xml:space="preserve"> (to keep Excel formulas simple).</t>
    </r>
  </si>
  <si>
    <t>3. There may be factors other than the above two that are not part of the standard virus propagation model, due to which the graphs generated by the model don’t correspond to what actually transpires.</t>
  </si>
  <si>
    <r>
      <t xml:space="preserve">(a) Each infected person is </t>
    </r>
    <r>
      <rPr>
        <b/>
        <sz val="11"/>
        <color theme="1"/>
        <rFont val="Calibri"/>
        <family val="2"/>
        <scheme val="minor"/>
      </rPr>
      <t>infectious for 15 days</t>
    </r>
    <r>
      <rPr>
        <sz val="11"/>
        <color theme="1"/>
        <rFont val="Calibri"/>
        <family val="2"/>
        <scheme val="minor"/>
      </rPr>
      <t>.</t>
    </r>
  </si>
  <si>
    <r>
      <t xml:space="preserve">(b) The number likely to be infected by one infectious person is termed </t>
    </r>
    <r>
      <rPr>
        <b/>
        <sz val="11"/>
        <color theme="1"/>
        <rFont val="Calibri"/>
        <family val="2"/>
        <scheme val="minor"/>
      </rPr>
      <t>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0</t>
    </r>
    <r>
      <rPr>
        <sz val="11"/>
        <color theme="1"/>
        <rFont val="Calibri"/>
        <family val="2"/>
        <scheme val="minor"/>
      </rPr>
      <t xml:space="preserve"> (to convey that it is a planned or unplanned target of governmental reopening policy), but is effectively smaller since the infected and (efficaciously) vaccinated are immune, so the </t>
    </r>
    <r>
      <rPr>
        <b/>
        <sz val="11"/>
        <color theme="1"/>
        <rFont val="Calibri"/>
        <family val="2"/>
        <scheme val="minor"/>
      </rPr>
      <t>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 xml:space="preserve">0 </t>
    </r>
    <r>
      <rPr>
        <b/>
        <sz val="11"/>
        <color theme="1"/>
        <rFont val="Calibri"/>
        <family val="2"/>
        <scheme val="minor"/>
      </rPr>
      <t>is multiplied by the susceptible</t>
    </r>
    <r>
      <rPr>
        <sz val="11"/>
        <color theme="1"/>
        <rFont val="Calibri"/>
        <family val="2"/>
        <scheme val="minor"/>
      </rPr>
      <t xml:space="preserve"> (ie uninfected and unvaccinated) fraction of the population to get the </t>
    </r>
    <r>
      <rPr>
        <b/>
        <sz val="11"/>
        <color theme="1"/>
        <rFont val="Calibri"/>
        <family val="2"/>
        <scheme val="minor"/>
      </rPr>
      <t xml:space="preserve">Actual </t>
    </r>
    <r>
      <rPr>
        <b/>
        <i/>
        <sz val="11"/>
        <color theme="1"/>
        <rFont val="Calibri"/>
        <family val="2"/>
        <scheme val="minor"/>
      </rPr>
      <t>R</t>
    </r>
    <r>
      <rPr>
        <b/>
        <i/>
        <vertAlign val="subscript"/>
        <sz val="11"/>
        <color theme="1"/>
        <rFont val="Calibri"/>
        <family val="2"/>
        <scheme val="minor"/>
      </rPr>
      <t>t</t>
    </r>
    <r>
      <rPr>
        <sz val="11"/>
        <color theme="1"/>
        <rFont val="Calibri"/>
        <family val="2"/>
        <scheme val="minor"/>
      </rPr>
      <t>.</t>
    </r>
  </si>
  <si>
    <r>
      <t xml:space="preserve">(c) The </t>
    </r>
    <r>
      <rPr>
        <b/>
        <sz val="11"/>
        <color theme="1"/>
        <rFont val="Calibri"/>
        <family val="2"/>
        <scheme val="minor"/>
      </rPr>
      <t xml:space="preserve">Actual </t>
    </r>
    <r>
      <rPr>
        <b/>
        <i/>
        <sz val="11"/>
        <color theme="1"/>
        <rFont val="Calibri"/>
        <family val="2"/>
        <scheme val="minor"/>
      </rPr>
      <t>R</t>
    </r>
    <r>
      <rPr>
        <b/>
        <i/>
        <vertAlign val="subscript"/>
        <sz val="11"/>
        <color theme="1"/>
        <rFont val="Calibri"/>
        <family val="2"/>
        <scheme val="minor"/>
      </rPr>
      <t>t</t>
    </r>
    <r>
      <rPr>
        <sz val="11"/>
        <color theme="1"/>
        <rFont val="Calibri"/>
        <family val="2"/>
        <scheme val="minor"/>
      </rPr>
      <t xml:space="preserve"> may be further reduced in the first few cycles by the </t>
    </r>
    <r>
      <rPr>
        <b/>
        <sz val="11"/>
        <color theme="1"/>
        <rFont val="Calibri"/>
        <family val="2"/>
        <scheme val="minor"/>
      </rPr>
      <t>warm weather</t>
    </r>
    <r>
      <rPr>
        <sz val="11"/>
        <color theme="1"/>
        <rFont val="Calibri"/>
        <family val="2"/>
        <scheme val="minor"/>
      </rPr>
      <t xml:space="preserve"> (there is no hard evidence to support this speculation).</t>
    </r>
  </si>
  <si>
    <r>
      <t xml:space="preserve">d) the factor by which </t>
    </r>
    <r>
      <rPr>
        <b/>
        <sz val="11"/>
        <color theme="1"/>
        <rFont val="Calibri"/>
        <family val="2"/>
        <scheme val="minor"/>
      </rPr>
      <t>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 xml:space="preserve">0 </t>
    </r>
    <r>
      <rPr>
        <sz val="11"/>
        <color theme="1"/>
        <rFont val="Calibri"/>
        <family val="2"/>
        <scheme val="minor"/>
      </rPr>
      <t>is scaled down during warm cycles (0.9; a value of 1 means no warmth effect),</t>
    </r>
  </si>
  <si>
    <r>
      <t xml:space="preserve">The total population (331m in our main region illustration), number of deaths prior to Reopen (100000), and the 15-day death count at Reopen (15000) are set at well-established values for the US and also for all states in the US (not perhaps </t>
    </r>
    <r>
      <rPr>
        <b/>
        <i/>
        <sz val="11"/>
        <color theme="1"/>
        <rFont val="Calibri"/>
        <family val="2"/>
        <scheme val="minor"/>
      </rPr>
      <t>R</t>
    </r>
    <r>
      <rPr>
        <b/>
        <i/>
        <vertAlign val="subscript"/>
        <sz val="11"/>
        <color theme="1"/>
        <rFont val="Calibri"/>
        <family val="2"/>
        <scheme val="minor"/>
      </rPr>
      <t>0</t>
    </r>
    <r>
      <rPr>
        <sz val="11"/>
        <color theme="1"/>
        <rFont val="Calibri"/>
        <family val="2"/>
        <scheme val="minor"/>
      </rPr>
      <t>), and can be altered for other nations (or for any reason).</t>
    </r>
  </si>
  <si>
    <t>Target R0</t>
  </si>
  <si>
    <t>This simple model follows what happens with a specific Target R0 (possibly lower for the first few warm cycles), which gets modified by # already infected &amp; by vaccine availability.</t>
  </si>
  <si>
    <t xml:space="preserve">              The current Rt is the Target R0 (E5) except in the first F2 warm cycles when it is scaled down by E2 (i.e., E5 or E5*E2),</t>
  </si>
  <si>
    <r>
      <t xml:space="preserve">We have created a spreadsheet with a simple model for Covid-19 infections and deaths under different reopening policies. The model uses </t>
    </r>
    <r>
      <rPr>
        <b/>
        <i/>
        <sz val="11"/>
        <color theme="1"/>
        <rFont val="Calibri"/>
        <family val="2"/>
        <scheme val="minor"/>
      </rPr>
      <t>R</t>
    </r>
    <r>
      <rPr>
        <i/>
        <sz val="11"/>
        <color theme="1"/>
        <rFont val="Calibri"/>
        <family val="2"/>
        <scheme val="minor"/>
      </rPr>
      <t xml:space="preserve">, </t>
    </r>
    <r>
      <rPr>
        <sz val="11"/>
        <color theme="1"/>
        <rFont val="Calibri"/>
        <family val="2"/>
        <scheme val="minor"/>
      </rPr>
      <t xml:space="preserve">the virus reproduction number (how many get infected by a single infectious person). We find it useful to view four forms of </t>
    </r>
    <r>
      <rPr>
        <b/>
        <sz val="11"/>
        <color theme="1"/>
        <rFont val="Calibri"/>
        <family val="2"/>
        <scheme val="minor"/>
      </rPr>
      <t>R</t>
    </r>
    <r>
      <rPr>
        <sz val="11"/>
        <color theme="1"/>
        <rFont val="Calibri"/>
        <family val="2"/>
        <scheme val="minor"/>
      </rPr>
      <t>:</t>
    </r>
  </si>
  <si>
    <r>
      <t xml:space="preserve">(1) </t>
    </r>
    <r>
      <rPr>
        <b/>
        <sz val="11"/>
        <color theme="1"/>
        <rFont val="Calibri"/>
        <family val="2"/>
        <scheme val="minor"/>
      </rPr>
      <t>starting</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0</t>
    </r>
    <r>
      <rPr>
        <i/>
        <vertAlign val="subscript"/>
        <sz val="11"/>
        <color theme="1"/>
        <rFont val="Calibri"/>
        <family val="2"/>
        <scheme val="minor"/>
      </rPr>
      <t xml:space="preserve"> </t>
    </r>
    <r>
      <rPr>
        <sz val="11"/>
        <color theme="1"/>
        <rFont val="Calibri"/>
        <family val="2"/>
        <scheme val="minor"/>
      </rPr>
      <t>at time zero when everyone was suceptible since no one was immune from having been infected;</t>
    </r>
  </si>
  <si>
    <r>
      <t xml:space="preserve">(2) </t>
    </r>
    <r>
      <rPr>
        <b/>
        <sz val="11"/>
        <color theme="1"/>
        <rFont val="Calibri"/>
        <family val="2"/>
        <scheme val="minor"/>
      </rPr>
      <t>lockdown</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0</t>
    </r>
    <r>
      <rPr>
        <sz val="11"/>
        <color theme="1"/>
        <rFont val="Calibri"/>
        <family val="2"/>
        <scheme val="minor"/>
      </rPr>
      <t>, which was around 1.0 in the US, meaning the curve was flattened and the death rate stable;</t>
    </r>
  </si>
  <si>
    <r>
      <t xml:space="preserve">(3) </t>
    </r>
    <r>
      <rPr>
        <b/>
        <sz val="11"/>
        <color theme="1"/>
        <rFont val="Calibri"/>
        <family val="2"/>
        <scheme val="minor"/>
      </rPr>
      <t>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0</t>
    </r>
    <r>
      <rPr>
        <sz val="11"/>
        <color theme="1"/>
        <rFont val="Calibri"/>
        <family val="2"/>
        <scheme val="minor"/>
      </rPr>
      <t>, which reopening will result in, the value depending on the level of relaxation and monitoring – the focus of this model; and</t>
    </r>
  </si>
  <si>
    <r>
      <t xml:space="preserve">(4) </t>
    </r>
    <r>
      <rPr>
        <b/>
        <sz val="11"/>
        <color theme="1"/>
        <rFont val="Calibri"/>
        <family val="2"/>
        <scheme val="minor"/>
      </rPr>
      <t>Actual</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t</t>
    </r>
    <r>
      <rPr>
        <sz val="11"/>
        <color theme="1"/>
        <rFont val="Calibri"/>
        <family val="2"/>
        <scheme val="minor"/>
      </rPr>
      <t xml:space="preserve">, which differs from </t>
    </r>
    <r>
      <rPr>
        <b/>
        <sz val="11"/>
        <color theme="1"/>
        <rFont val="Calibri"/>
        <family val="2"/>
        <scheme val="minor"/>
      </rPr>
      <t>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 xml:space="preserve">0 </t>
    </r>
    <r>
      <rPr>
        <sz val="11"/>
        <color theme="1"/>
        <rFont val="Calibri"/>
        <family val="2"/>
        <scheme val="minor"/>
      </rPr>
      <t>when a significant fraction of the population gets infected or vaccinated.</t>
    </r>
  </si>
  <si>
    <r>
      <t>We make no claim that the model fits US data to date or will in the future.</t>
    </r>
    <r>
      <rPr>
        <sz val="11"/>
        <color theme="1"/>
        <rFont val="Calibri"/>
        <family val="2"/>
        <scheme val="minor"/>
      </rPr>
      <t xml:space="preserve"> Rather, our goal is to provide any interested person a simple tool with which to understand </t>
    </r>
    <r>
      <rPr>
        <b/>
        <i/>
        <sz val="11"/>
        <color theme="1"/>
        <rFont val="Calibri"/>
        <family val="2"/>
        <scheme val="minor"/>
      </rPr>
      <t>R</t>
    </r>
    <r>
      <rPr>
        <sz val="11"/>
        <color theme="1"/>
        <rFont val="Calibri"/>
        <family val="2"/>
        <scheme val="minor"/>
      </rPr>
      <t xml:space="preserve">, and how </t>
    </r>
    <r>
      <rPr>
        <b/>
        <sz val="11"/>
        <color theme="1"/>
        <rFont val="Calibri"/>
        <family val="2"/>
        <scheme val="minor"/>
      </rPr>
      <t>small changes in 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 xml:space="preserve">0 </t>
    </r>
    <r>
      <rPr>
        <b/>
        <sz val="11"/>
        <color theme="1"/>
        <rFont val="Calibri"/>
        <family val="2"/>
        <scheme val="minor"/>
      </rPr>
      <t>can mean big differences in deaths</t>
    </r>
    <r>
      <rPr>
        <sz val="11"/>
        <color theme="1"/>
        <rFont val="Calibri"/>
        <family val="2"/>
        <scheme val="minor"/>
      </rPr>
      <t xml:space="preserve">. The spreadsheet shows what may happen when </t>
    </r>
    <r>
      <rPr>
        <b/>
        <i/>
        <sz val="11"/>
        <color theme="1"/>
        <rFont val="Calibri"/>
        <family val="2"/>
        <scheme val="minor"/>
      </rPr>
      <t>R</t>
    </r>
    <r>
      <rPr>
        <b/>
        <i/>
        <vertAlign val="subscript"/>
        <sz val="11"/>
        <color theme="1"/>
        <rFont val="Calibri"/>
        <family val="2"/>
        <scheme val="minor"/>
      </rPr>
      <t xml:space="preserve">0 </t>
    </r>
    <r>
      <rPr>
        <sz val="11"/>
        <color theme="1"/>
        <rFont val="Calibri"/>
        <family val="2"/>
        <scheme val="minor"/>
      </rPr>
      <t xml:space="preserve">changes to different values under different reopening policies. For anyone interested in the math, the </t>
    </r>
    <r>
      <rPr>
        <b/>
        <sz val="11"/>
        <color theme="1"/>
        <rFont val="Calibri"/>
        <family val="2"/>
        <scheme val="minor"/>
      </rPr>
      <t>various formulas are completely visible</t>
    </r>
    <r>
      <rPr>
        <sz val="11"/>
        <color theme="1"/>
        <rFont val="Calibri"/>
        <family val="2"/>
        <scheme val="minor"/>
      </rPr>
      <t xml:space="preserve"> and explained below the graphs, but there is </t>
    </r>
    <r>
      <rPr>
        <b/>
        <sz val="11"/>
        <color theme="1"/>
        <rFont val="Calibri"/>
        <family val="2"/>
        <scheme val="minor"/>
      </rPr>
      <t>no need to understand the math</t>
    </r>
    <r>
      <rPr>
        <sz val="11"/>
        <color theme="1"/>
        <rFont val="Calibri"/>
        <family val="2"/>
        <scheme val="minor"/>
      </rPr>
      <t xml:space="preserve"> to use the tool.</t>
    </r>
  </si>
  <si>
    <r>
      <t xml:space="preserve">1. Most importantly, we assume </t>
    </r>
    <r>
      <rPr>
        <b/>
        <sz val="11"/>
        <color theme="1"/>
        <rFont val="Calibri"/>
        <family val="2"/>
        <scheme val="minor"/>
      </rPr>
      <t xml:space="preserve">a single </t>
    </r>
    <r>
      <rPr>
        <b/>
        <i/>
        <sz val="11"/>
        <color theme="1"/>
        <rFont val="Calibri"/>
        <family val="2"/>
        <scheme val="minor"/>
      </rPr>
      <t>R</t>
    </r>
    <r>
      <rPr>
        <b/>
        <i/>
        <vertAlign val="subscript"/>
        <sz val="11"/>
        <color theme="1"/>
        <rFont val="Calibri"/>
        <family val="2"/>
        <scheme val="minor"/>
      </rPr>
      <t>0</t>
    </r>
    <r>
      <rPr>
        <b/>
        <sz val="11"/>
        <color theme="1"/>
        <rFont val="Calibri"/>
        <family val="2"/>
        <scheme val="minor"/>
      </rPr>
      <t>, and a single infected fraction</t>
    </r>
    <r>
      <rPr>
        <sz val="11"/>
        <color theme="1"/>
        <rFont val="Calibri"/>
        <family val="2"/>
        <scheme val="minor"/>
      </rPr>
      <t>, for an entire region. There is obvious heterogeneity in these two and other parameters, addressed, for instance, in the work of Prof. Shaman’s group at Columbia:</t>
    </r>
  </si>
  <si>
    <r>
      <t xml:space="preserve">2. </t>
    </r>
    <r>
      <rPr>
        <b/>
        <sz val="11"/>
        <color theme="1"/>
        <rFont val="Calibri"/>
        <family val="2"/>
        <scheme val="minor"/>
      </rPr>
      <t>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 xml:space="preserve">0 </t>
    </r>
    <r>
      <rPr>
        <b/>
        <sz val="11"/>
        <color theme="1"/>
        <rFont val="Calibri"/>
        <family val="2"/>
        <scheme val="minor"/>
      </rPr>
      <t>remains fixed</t>
    </r>
    <r>
      <rPr>
        <sz val="11"/>
        <color theme="1"/>
        <rFont val="Calibri"/>
        <family val="2"/>
        <scheme val="minor"/>
      </rPr>
      <t xml:space="preserve"> for a given policy. In practice, if the death rate goes up significantly under “Trump” (our model predicts a rise from 1000 to 7000 a day in under 5 months), GOP leaders may be forced to move in the Cuomo direction. Our model doesn’t account for such developments.</t>
    </r>
  </si>
  <si>
    <r>
      <t xml:space="preserve">Sekhar Ramakrishnan </t>
    </r>
    <r>
      <rPr>
        <b/>
        <sz val="11"/>
        <color theme="1"/>
        <rFont val="Calibri"/>
        <family val="2"/>
        <scheme val="minor"/>
      </rPr>
      <t>sekhar@caa.columbia.edu</t>
    </r>
    <r>
      <rPr>
        <sz val="11"/>
        <color theme="1"/>
        <rFont val="Calibri"/>
        <family val="2"/>
        <scheme val="minor"/>
      </rPr>
      <t>, Pediatrics &amp; CTSA, Columbia University, NYC</t>
    </r>
  </si>
  <si>
    <r>
      <t>Janak Ramakrishnan</t>
    </r>
    <r>
      <rPr>
        <b/>
        <sz val="11"/>
        <color theme="1"/>
        <rFont val="Calibri"/>
        <family val="2"/>
        <scheme val="minor"/>
      </rPr>
      <t xml:space="preserve"> janakdaniel@gmail.com</t>
    </r>
    <r>
      <rPr>
        <sz val="11"/>
        <color theme="1"/>
        <rFont val="Calibri"/>
        <family val="2"/>
        <scheme val="minor"/>
      </rPr>
      <t>, Google Inc., NYC</t>
    </r>
  </si>
  <si>
    <r>
      <t xml:space="preserve">(1) While a </t>
    </r>
    <r>
      <rPr>
        <b/>
        <sz val="11"/>
        <color theme="1"/>
        <rFont val="Calibri"/>
        <family val="2"/>
        <scheme val="minor"/>
      </rPr>
      <t>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 xml:space="preserve">0 </t>
    </r>
    <r>
      <rPr>
        <sz val="11"/>
        <color theme="1"/>
        <rFont val="Calibri"/>
        <family val="2"/>
        <scheme val="minor"/>
      </rPr>
      <t xml:space="preserve">of 1.06 and 1.2 may not seem so different and the death counts start off not very different, the curves diverge quickly, pointing to the </t>
    </r>
    <r>
      <rPr>
        <b/>
        <sz val="11"/>
        <color theme="1"/>
        <rFont val="Calibri"/>
        <family val="2"/>
        <scheme val="minor"/>
      </rPr>
      <t>absolute importance of keeping the curve flat or tending down</t>
    </r>
    <r>
      <rPr>
        <sz val="11"/>
        <color theme="1"/>
        <rFont val="Calibri"/>
        <family val="2"/>
        <scheme val="minor"/>
      </rPr>
      <t>.</t>
    </r>
  </si>
  <si>
    <r>
      <t xml:space="preserve">b) the </t>
    </r>
    <r>
      <rPr>
        <b/>
        <sz val="11"/>
        <color theme="1"/>
        <rFont val="Calibri"/>
        <family val="2"/>
        <scheme val="minor"/>
      </rPr>
      <t>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0</t>
    </r>
    <r>
      <rPr>
        <sz val="11"/>
        <color theme="1"/>
        <rFont val="Calibri"/>
        <family val="2"/>
        <scheme val="minor"/>
      </rPr>
      <t xml:space="preserve">, ie the </t>
    </r>
    <r>
      <rPr>
        <b/>
        <i/>
        <sz val="11"/>
        <color theme="1"/>
        <rFont val="Calibri"/>
        <family val="2"/>
        <scheme val="minor"/>
      </rPr>
      <t>R</t>
    </r>
    <r>
      <rPr>
        <b/>
        <i/>
        <vertAlign val="subscript"/>
        <sz val="11"/>
        <color theme="1"/>
        <rFont val="Calibri"/>
        <family val="2"/>
        <scheme val="minor"/>
      </rPr>
      <t xml:space="preserve">0 </t>
    </r>
    <r>
      <rPr>
        <sz val="11"/>
        <color theme="1"/>
        <rFont val="Calibri"/>
        <family val="2"/>
        <scheme val="minor"/>
      </rPr>
      <t>you expect a policy to result in (1.2 for Trump and 1.06 for Cuomo in our illustration),</t>
    </r>
  </si>
  <si>
    <r>
      <t xml:space="preserve">We term </t>
    </r>
    <r>
      <rPr>
        <b/>
        <sz val="11"/>
        <color theme="1"/>
        <rFont val="Calibri"/>
        <family val="2"/>
        <scheme val="minor"/>
      </rPr>
      <t>“Cuomo”</t>
    </r>
    <r>
      <rPr>
        <sz val="11"/>
        <color theme="1"/>
        <rFont val="Calibri"/>
        <family val="2"/>
        <scheme val="minor"/>
      </rPr>
      <t xml:space="preserve"> a policy that opens up the economy gradually, with aggressive test/trace/isolate, in order to increase </t>
    </r>
    <r>
      <rPr>
        <b/>
        <i/>
        <sz val="11"/>
        <color theme="1"/>
        <rFont val="Calibri"/>
        <family val="2"/>
        <scheme val="minor"/>
      </rPr>
      <t>R</t>
    </r>
    <r>
      <rPr>
        <b/>
        <i/>
        <vertAlign val="subscript"/>
        <sz val="11"/>
        <color theme="1"/>
        <rFont val="Calibri"/>
        <family val="2"/>
        <scheme val="minor"/>
      </rPr>
      <t xml:space="preserve">0 </t>
    </r>
    <r>
      <rPr>
        <sz val="11"/>
        <color theme="1"/>
        <rFont val="Calibri"/>
        <family val="2"/>
        <scheme val="minor"/>
      </rPr>
      <t xml:space="preserve">only slightly (to 1.06 in our illustration) to keep the national death rate close to or below the current 1000 a day. We term </t>
    </r>
    <r>
      <rPr>
        <b/>
        <sz val="11"/>
        <color theme="1"/>
        <rFont val="Calibri"/>
        <family val="2"/>
        <scheme val="minor"/>
      </rPr>
      <t>“Trump”</t>
    </r>
    <r>
      <rPr>
        <sz val="11"/>
        <color theme="1"/>
        <rFont val="Calibri"/>
        <family val="2"/>
        <scheme val="minor"/>
      </rPr>
      <t xml:space="preserve"> a laissez faire policy (no test/trace/isolate) to increase </t>
    </r>
    <r>
      <rPr>
        <b/>
        <i/>
        <sz val="11"/>
        <color theme="1"/>
        <rFont val="Calibri"/>
        <family val="2"/>
        <scheme val="minor"/>
      </rPr>
      <t>R</t>
    </r>
    <r>
      <rPr>
        <b/>
        <i/>
        <vertAlign val="subscript"/>
        <sz val="11"/>
        <color theme="1"/>
        <rFont val="Calibri"/>
        <family val="2"/>
        <scheme val="minor"/>
      </rPr>
      <t>0</t>
    </r>
    <r>
      <rPr>
        <sz val="11"/>
        <color theme="1"/>
        <rFont val="Calibri"/>
        <family val="2"/>
        <scheme val="minor"/>
      </rPr>
      <t xml:space="preserve"> significantly (to 1.2 in our illustration, a 20% increase in exposure, still small compared to the near tripling to the level close to 3 before the pandemic). We term </t>
    </r>
    <r>
      <rPr>
        <b/>
        <sz val="11"/>
        <color theme="1"/>
        <rFont val="Calibri"/>
        <family val="2"/>
        <scheme val="minor"/>
      </rPr>
      <t>“Merkel”</t>
    </r>
    <r>
      <rPr>
        <sz val="11"/>
        <color theme="1"/>
        <rFont val="Calibri"/>
        <family val="2"/>
        <scheme val="minor"/>
      </rPr>
      <t xml:space="preserve"> an aggressive policy that pushes </t>
    </r>
    <r>
      <rPr>
        <b/>
        <i/>
        <sz val="11"/>
        <color theme="1"/>
        <rFont val="Calibri"/>
        <family val="2"/>
        <scheme val="minor"/>
      </rPr>
      <t>R</t>
    </r>
    <r>
      <rPr>
        <b/>
        <i/>
        <vertAlign val="subscript"/>
        <sz val="11"/>
        <color theme="1"/>
        <rFont val="Calibri"/>
        <family val="2"/>
        <scheme val="minor"/>
      </rPr>
      <t xml:space="preserve">0 </t>
    </r>
    <r>
      <rPr>
        <sz val="11"/>
        <color theme="1"/>
        <rFont val="Calibri"/>
        <family val="2"/>
        <scheme val="minor"/>
      </rPr>
      <t>down (to 0.7) to eliminate the virus in a few months even without a vaccine (emulating the German experience).</t>
    </r>
  </si>
  <si>
    <r>
      <t xml:space="preserve">(6) The effect of </t>
    </r>
    <r>
      <rPr>
        <b/>
        <sz val="11"/>
        <color theme="1"/>
        <rFont val="Calibri"/>
        <family val="2"/>
        <scheme val="minor"/>
      </rPr>
      <t>lowering Trump’s</t>
    </r>
    <r>
      <rPr>
        <sz val="11"/>
        <color theme="1"/>
        <rFont val="Calibri"/>
        <family val="2"/>
        <scheme val="minor"/>
      </rPr>
      <t xml:space="preserve"> </t>
    </r>
    <r>
      <rPr>
        <b/>
        <sz val="11"/>
        <color theme="1"/>
        <rFont val="Calibri"/>
        <family val="2"/>
        <scheme val="minor"/>
      </rPr>
      <t>Target</t>
    </r>
    <r>
      <rPr>
        <sz val="11"/>
        <color theme="1"/>
        <rFont val="Calibri"/>
        <family val="2"/>
        <scheme val="minor"/>
      </rPr>
      <t xml:space="preserve"> </t>
    </r>
    <r>
      <rPr>
        <b/>
        <i/>
        <sz val="11"/>
        <color theme="1"/>
        <rFont val="Calibri"/>
        <family val="2"/>
        <scheme val="minor"/>
      </rPr>
      <t>R</t>
    </r>
    <r>
      <rPr>
        <b/>
        <i/>
        <vertAlign val="subscript"/>
        <sz val="11"/>
        <color theme="1"/>
        <rFont val="Calibri"/>
        <family val="2"/>
        <scheme val="minor"/>
      </rPr>
      <t xml:space="preserve">0 </t>
    </r>
    <r>
      <rPr>
        <sz val="11"/>
        <color theme="1"/>
        <rFont val="Calibri"/>
        <family val="2"/>
        <scheme val="minor"/>
      </rPr>
      <t>is dramatic: if 1.2 is changed to 1.1, the deaths are reduced by half, but are still many more than the deaths under Cuomo (this last point highlights the value of the spreadsheet tool).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</si>
</sst>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
  </numFmts>
  <fonts count="18" x14ac:knownFonts="1">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rgb="FFFF0000"/>
      <name val="Calibri"/>
      <family val="2"/>
      <scheme val="minor"/>
    </font>
    <font>
      <sz val="8"/>
      <color theme="1"/>
      <name val="Calibri"/>
      <family val="2"/>
      <scheme val="minor"/>
    </font>
    <font>
      <b/>
      <sz val="12"/>
      <color theme="1"/>
      <name val="Calibri"/>
      <family val="2"/>
      <scheme val="minor"/>
    </font>
    <font>
      <u/>
      <sz val="11"/>
      <color theme="10"/>
      <name val="Calibri"/>
      <family val="2"/>
      <scheme val="minor"/>
    </font>
    <font>
      <b/>
      <sz val="11"/>
      <color rgb="FFFF0000"/>
      <name val="Calibri"/>
      <family val="2"/>
      <scheme val="minor"/>
    </font>
    <font>
      <b/>
      <sz val="8"/>
      <color theme="1"/>
      <name val="Calibri"/>
      <family val="2"/>
      <scheme val="minor"/>
    </font>
    <font>
      <b/>
      <sz val="14"/>
      <color rgb="FFFF0000"/>
      <name val="Calibri"/>
      <family val="2"/>
      <scheme val="minor"/>
    </font>
    <font>
      <b/>
      <sz val="10"/>
      <color theme="1"/>
      <name val="Calibri"/>
      <family val="2"/>
      <scheme val="minor"/>
    </font>
    <font>
      <i/>
      <sz val="11"/>
      <color theme="1"/>
      <name val="Calibri"/>
      <family val="2"/>
      <scheme val="minor"/>
    </font>
    <font>
      <i/>
      <vertAlign val="subscript"/>
      <sz val="11"/>
      <color theme="1"/>
      <name val="Calibri"/>
      <family val="2"/>
      <scheme val="minor"/>
    </font>
    <font>
      <sz val="10"/>
      <color theme="1"/>
      <name val="Calibri"/>
      <family val="2"/>
      <scheme val="minor"/>
    </font>
    <font>
      <b/>
      <sz val="12"/>
      <color rgb="FFFF0000"/>
      <name val="Calibri"/>
      <family val="2"/>
      <scheme val="minor"/>
    </font>
    <font>
      <b/>
      <i/>
      <sz val="11"/>
      <color theme="1"/>
      <name val="Calibri"/>
      <family val="2"/>
      <scheme val="minor"/>
    </font>
    <font>
      <b/>
      <i/>
      <vertAlign val="subscrip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11" fontId="0" fillId="2" borderId="0" xfId="0" applyNumberFormat="1" applyFill="1"/>
    <xf numFmtId="0" fontId="0" fillId="2" borderId="0" xfId="0" applyFill="1"/>
    <xf numFmtId="3" fontId="1" fillId="0" borderId="0" xfId="0" applyNumberFormat="1" applyFont="1"/>
    <xf numFmtId="49" fontId="0" fillId="3" borderId="0" xfId="0" applyNumberFormat="1" applyFill="1"/>
    <xf numFmtId="0" fontId="0" fillId="3" borderId="0" xfId="0" applyFill="1"/>
    <xf numFmtId="0" fontId="5" fillId="0" borderId="0" xfId="0" applyFont="1" applyAlignment="1">
      <alignment wrapText="1"/>
    </xf>
    <xf numFmtId="0" fontId="0" fillId="3" borderId="0" xfId="0" applyFill="1" applyAlignment="1">
      <alignment horizontal="right"/>
    </xf>
    <xf numFmtId="0" fontId="2" fillId="0" borderId="0" xfId="0" applyFont="1" applyAlignment="1">
      <alignment horizontal="right" vertical="top"/>
    </xf>
    <xf numFmtId="3" fontId="3" fillId="0" borderId="0" xfId="0" applyNumberFormat="1" applyFont="1" applyAlignment="1">
      <alignment horizontal="right" vertical="top" wrapText="1"/>
    </xf>
    <xf numFmtId="3" fontId="4" fillId="0" borderId="0" xfId="0" applyNumberFormat="1" applyFont="1" applyAlignment="1">
      <alignment horizontal="right" vertical="top" wrapText="1"/>
    </xf>
    <xf numFmtId="2" fontId="0" fillId="2" borderId="0" xfId="0" applyNumberFormat="1" applyFill="1"/>
    <xf numFmtId="164" fontId="0" fillId="3" borderId="0" xfId="0" applyNumberFormat="1" applyFill="1"/>
    <xf numFmtId="0" fontId="5" fillId="0" borderId="0" xfId="0" applyFont="1"/>
    <xf numFmtId="3" fontId="5" fillId="0" borderId="0" xfId="0" applyNumberFormat="1" applyFont="1"/>
    <xf numFmtId="0" fontId="1" fillId="0" borderId="0" xfId="0" applyFont="1"/>
    <xf numFmtId="0" fontId="9" fillId="0" borderId="0" xfId="0" applyFont="1" applyAlignment="1">
      <alignment wrapText="1"/>
    </xf>
    <xf numFmtId="0" fontId="5" fillId="0" borderId="0" xfId="0" applyFont="1" applyAlignment="1">
      <alignment horizontal="right" vertical="top"/>
    </xf>
    <xf numFmtId="3" fontId="9" fillId="0" borderId="0" xfId="0" applyNumberFormat="1" applyFont="1" applyAlignment="1">
      <alignment horizontal="right" vertical="top" wrapText="1"/>
    </xf>
    <xf numFmtId="0" fontId="11" fillId="0" borderId="0" xfId="0" applyFont="1" applyAlignment="1"/>
    <xf numFmtId="0" fontId="0" fillId="0" borderId="0" xfId="0" applyAlignment="1">
      <alignment horizontal="right"/>
    </xf>
    <xf numFmtId="11" fontId="0" fillId="3" borderId="0" xfId="0" applyNumberFormat="1" applyFill="1"/>
    <xf numFmtId="0" fontId="0" fillId="0" borderId="0" xfId="0" applyNumberFormat="1"/>
    <xf numFmtId="165" fontId="0" fillId="3" borderId="0" xfId="0" applyNumberFormat="1" applyFill="1"/>
    <xf numFmtId="3" fontId="0" fillId="3" borderId="0" xfId="0" applyNumberFormat="1" applyFill="1"/>
    <xf numFmtId="0" fontId="14" fillId="0" borderId="0" xfId="0" applyFont="1"/>
    <xf numFmtId="3" fontId="0" fillId="0" borderId="0" xfId="0" applyNumberFormat="1"/>
    <xf numFmtId="0" fontId="0" fillId="2" borderId="0" xfId="0" applyFill="1" applyProtection="1"/>
    <xf numFmtId="0" fontId="10" fillId="0" borderId="0" xfId="0" applyFont="1" applyAlignment="1">
      <alignment horizontal="center" wrapText="1"/>
    </xf>
    <xf numFmtId="0" fontId="6" fillId="0" borderId="0" xfId="0" applyFont="1" applyAlignment="1">
      <alignment horizontal="center" vertical="center" wrapText="1"/>
    </xf>
    <xf numFmtId="0" fontId="0" fillId="0" borderId="0" xfId="0" applyAlignment="1">
      <alignment wrapText="1"/>
    </xf>
    <xf numFmtId="0" fontId="14" fillId="0" borderId="0" xfId="0" applyFont="1" applyAlignment="1">
      <alignment vertical="center" wrapText="1"/>
    </xf>
    <xf numFmtId="0" fontId="7" fillId="0" borderId="0" xfId="1" applyAlignment="1">
      <alignment vertical="center" wrapText="1"/>
    </xf>
    <xf numFmtId="0" fontId="0" fillId="0" borderId="0" xfId="0" applyAlignment="1">
      <alignment vertical="center" wrapText="1"/>
    </xf>
    <xf numFmtId="0" fontId="8" fillId="2" borderId="0" xfId="0" applyFont="1" applyFill="1" applyAlignment="1">
      <alignment horizontal="center" wrapText="1"/>
    </xf>
    <xf numFmtId="0" fontId="15" fillId="0" borderId="0" xfId="0" applyFont="1" applyAlignment="1">
      <alignment horizontal="center" wrapText="1"/>
    </xf>
    <xf numFmtId="0" fontId="1" fillId="0" borderId="0" xfId="0" applyFont="1" applyAlignment="1">
      <alignment horizontal="center"/>
    </xf>
    <xf numFmtId="0" fontId="1" fillId="0" borderId="0" xfId="0" applyFont="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reopen!$P$4</c:f>
          <c:strCache>
            <c:ptCount val="1"/>
            <c:pt idx="0">
              <c:v>US: New Infections per 15-day cycle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Trump, novax</c:v>
          </c:tx>
          <c:spPr>
            <a:ln w="19050" cap="rnd">
              <a:solidFill>
                <a:schemeClr val="accent1"/>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reopen!$C$9:$C$58</c:f>
              <c:numCache>
                <c:formatCode>#,##0</c:formatCode>
                <c:ptCount val="50"/>
                <c:pt idx="0">
                  <c:v>0</c:v>
                </c:pt>
                <c:pt idx="1">
                  <c:v>1099740.1812688822</c:v>
                </c:pt>
                <c:pt idx="2">
                  <c:v>1147890.4631380513</c:v>
                </c:pt>
                <c:pt idx="3">
                  <c:v>1193849.6352773968</c:v>
                </c:pt>
                <c:pt idx="4">
                  <c:v>1236998.4676227046</c:v>
                </c:pt>
                <c:pt idx="5">
                  <c:v>1276714.1269816225</c:v>
                </c:pt>
                <c:pt idx="6">
                  <c:v>1312386.4905159031</c:v>
                </c:pt>
                <c:pt idx="7">
                  <c:v>1343435.7876639331</c:v>
                </c:pt>
                <c:pt idx="8">
                  <c:v>1369330.8316298318</c:v>
                </c:pt>
                <c:pt idx="9">
                  <c:v>1544007.7395292467</c:v>
                </c:pt>
                <c:pt idx="10">
                  <c:v>1732324.3252442339</c:v>
                </c:pt>
                <c:pt idx="11">
                  <c:v>1932729.5802322919</c:v>
                </c:pt>
                <c:pt idx="12">
                  <c:v>2142776.4754933785</c:v>
                </c:pt>
                <c:pt idx="13">
                  <c:v>2359005.1441635871</c:v>
                </c:pt>
                <c:pt idx="14">
                  <c:v>2576878.6750839348</c:v>
                </c:pt>
                <c:pt idx="15">
                  <c:v>2790801.0102731106</c:v>
                </c:pt>
                <c:pt idx="16">
                  <c:v>2994245.8280121945</c:v>
                </c:pt>
                <c:pt idx="17">
                  <c:v>3180018.0868374323</c:v>
                </c:pt>
                <c:pt idx="18">
                  <c:v>3340654.5444344487</c:v>
                </c:pt>
                <c:pt idx="19">
                  <c:v>3468946.3279373241</c:v>
                </c:pt>
                <c:pt idx="20">
                  <c:v>3558538.6217058958</c:v>
                </c:pt>
                <c:pt idx="21">
                  <c:v>3604535.9391761692</c:v>
                </c:pt>
                <c:pt idx="22">
                  <c:v>3604024.4442154979</c:v>
                </c:pt>
                <c:pt idx="23">
                  <c:v>3556423.0199239617</c:v>
                </c:pt>
                <c:pt idx="24">
                  <c:v>3463596.0072217803</c:v>
                </c:pt>
                <c:pt idx="25">
                  <c:v>3329700.0605463376</c:v>
                </c:pt>
                <c:pt idx="26">
                  <c:v>3160786.0646935627</c:v>
                </c:pt>
                <c:pt idx="27">
                  <c:v>2964221.4063525908</c:v>
                </c:pt>
                <c:pt idx="28">
                  <c:v>2748026.0421816446</c:v>
                </c:pt>
                <c:pt idx="29">
                  <c:v>2520221.3051738474</c:v>
                </c:pt>
                <c:pt idx="30">
                  <c:v>2288274.3898937409</c:v>
                </c:pt>
                <c:pt idx="31">
                  <c:v>2058691.3556015776</c:v>
                </c:pt>
                <c:pt idx="32">
                  <c:v>1836777.3216324046</c:v>
                </c:pt>
                <c:pt idx="33">
                  <c:v>1626553.1094212127</c:v>
                </c:pt>
                <c:pt idx="34">
                  <c:v>1430798.0649650989</c:v>
                </c:pt>
                <c:pt idx="35">
                  <c:v>1251180.2533674799</c:v>
                </c:pt>
                <c:pt idx="36">
                  <c:v>1088435.7324173199</c:v>
                </c:pt>
                <c:pt idx="37">
                  <c:v>942564.8901267217</c:v>
                </c:pt>
                <c:pt idx="38">
                  <c:v>813022.59285995713</c:v>
                </c:pt>
                <c:pt idx="39">
                  <c:v>698887.66833552963</c:v>
                </c:pt>
                <c:pt idx="40">
                  <c:v>599004.60554627201</c:v>
                </c:pt>
                <c:pt idx="41">
                  <c:v>512095.74045062158</c:v>
                </c:pt>
                <c:pt idx="42">
                  <c:v>436845.65266973746</c:v>
                </c:pt>
                <c:pt idx="43">
                  <c:v>371961.36960277898</c:v>
                </c:pt>
                <c:pt idx="44">
                  <c:v>316212.69936385425</c:v>
                </c:pt>
                <c:pt idx="45">
                  <c:v>268457.00173593266</c:v>
                </c:pt>
                <c:pt idx="46">
                  <c:v>227652.28128724394</c:v>
                </c:pt>
                <c:pt idx="47">
                  <c:v>192861.87805806354</c:v>
                </c:pt>
                <c:pt idx="48">
                  <c:v>163253.38465865669</c:v>
                </c:pt>
                <c:pt idx="49">
                  <c:v>138093.8166779578</c:v>
                </c:pt>
              </c:numCache>
            </c:numRef>
          </c:yVal>
          <c:smooth val="1"/>
          <c:extLst>
            <c:ext xmlns:c16="http://schemas.microsoft.com/office/drawing/2014/chart" uri="{C3380CC4-5D6E-409C-BE32-E72D297353CC}">
              <c16:uniqueId val="{00000000-9BE0-43AC-B1EB-5799FE64CD3F}"/>
            </c:ext>
          </c:extLst>
        </c:ser>
        <c:ser>
          <c:idx val="1"/>
          <c:order val="1"/>
          <c:tx>
            <c:v>Cuomo, novax</c:v>
          </c:tx>
          <c:spPr>
            <a:ln w="19050" cap="rnd">
              <a:solidFill>
                <a:schemeClr val="accent2"/>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reopen!$E$9:$E$58</c:f>
              <c:numCache>
                <c:formatCode>#,##0</c:formatCode>
                <c:ptCount val="50"/>
                <c:pt idx="0">
                  <c:v>0</c:v>
                </c:pt>
                <c:pt idx="1">
                  <c:v>971437.16012084601</c:v>
                </c:pt>
                <c:pt idx="2">
                  <c:v>896032.6491950528</c:v>
                </c:pt>
                <c:pt idx="3">
                  <c:v>824167.13236679544</c:v>
                </c:pt>
                <c:pt idx="4">
                  <c:v>756107.80487551552</c:v>
                </c:pt>
                <c:pt idx="5">
                  <c:v>692021.04735623451</c:v>
                </c:pt>
                <c:pt idx="6">
                  <c:v>631985.94981377234</c:v>
                </c:pt>
                <c:pt idx="7">
                  <c:v>576007.93528672145</c:v>
                </c:pt>
                <c:pt idx="8">
                  <c:v>524031.89799391653</c:v>
                </c:pt>
                <c:pt idx="9">
                  <c:v>528838.2693703986</c:v>
                </c:pt>
                <c:pt idx="10">
                  <c:v>532793.10466610792</c:v>
                </c:pt>
                <c:pt idx="11">
                  <c:v>535868.45032397634</c:v>
                </c:pt>
                <c:pt idx="12">
                  <c:v>538041.9572280061</c:v>
                </c:pt>
                <c:pt idx="13">
                  <c:v>539297.2150308711</c:v>
                </c:pt>
                <c:pt idx="14">
                  <c:v>539624.00566819787</c:v>
                </c:pt>
                <c:pt idx="15">
                  <c:v>539018.46951813903</c:v>
                </c:pt>
                <c:pt idx="16">
                  <c:v>537483.17973996326</c:v>
                </c:pt>
                <c:pt idx="17">
                  <c:v>535027.12257920112</c:v>
                </c:pt>
                <c:pt idx="18">
                  <c:v>531665.58377584966</c:v>
                </c:pt>
                <c:pt idx="19">
                  <c:v>527419.94356707926</c:v>
                </c:pt>
                <c:pt idx="20">
                  <c:v>522317.38504682179</c:v>
                </c:pt>
                <c:pt idx="21">
                  <c:v>516390.52274557453</c:v>
                </c:pt>
                <c:pt idx="22">
                  <c:v>509676.96014739282</c:v>
                </c:pt>
                <c:pt idx="23">
                  <c:v>502218.78640266124</c:v>
                </c:pt>
                <c:pt idx="24">
                  <c:v>494062.0236759088</c:v>
                </c:pt>
                <c:pt idx="25">
                  <c:v>485256.03735659429</c:v>
                </c:pt>
                <c:pt idx="26">
                  <c:v>475852.92174511467</c:v>
                </c:pt>
                <c:pt idx="27">
                  <c:v>465906.87381243159</c:v>
                </c:pt>
                <c:pt idx="28">
                  <c:v>455473.56724288582</c:v>
                </c:pt>
                <c:pt idx="29">
                  <c:v>444609.53824396036</c:v>
                </c:pt>
                <c:pt idx="30">
                  <c:v>433371.59359368146</c:v>
                </c:pt>
                <c:pt idx="31">
                  <c:v>421816.25015401107</c:v>
                </c:pt>
                <c:pt idx="32">
                  <c:v>409999.21366963349</c:v>
                </c:pt>
                <c:pt idx="33">
                  <c:v>397974.90315974579</c:v>
                </c:pt>
                <c:pt idx="34">
                  <c:v>385796.02565747657</c:v>
                </c:pt>
                <c:pt idx="35">
                  <c:v>373513.20451420679</c:v>
                </c:pt>
                <c:pt idx="36">
                  <c:v>361174.66301417816</c:v>
                </c:pt>
                <c:pt idx="37">
                  <c:v>348825.96367972792</c:v>
                </c:pt>
                <c:pt idx="38">
                  <c:v>336509.80242137139</c:v>
                </c:pt>
                <c:pt idx="39">
                  <c:v>324265.8556223645</c:v>
                </c:pt>
                <c:pt idx="40">
                  <c:v>312130.67735773377</c:v>
                </c:pt>
                <c:pt idx="41">
                  <c:v>300137.64323804562</c:v>
                </c:pt>
                <c:pt idx="42">
                  <c:v>288316.93683602213</c:v>
                </c:pt>
                <c:pt idx="43">
                  <c:v>276695.57429098611</c:v>
                </c:pt>
                <c:pt idx="44">
                  <c:v>265297.46247876517</c:v>
                </c:pt>
                <c:pt idx="45">
                  <c:v>254143.48606639975</c:v>
                </c:pt>
                <c:pt idx="46">
                  <c:v>243251.6188229213</c:v>
                </c:pt>
                <c:pt idx="47">
                  <c:v>232637.05470971303</c:v>
                </c:pt>
                <c:pt idx="48">
                  <c:v>222312.35450660429</c:v>
                </c:pt>
                <c:pt idx="49">
                  <c:v>212287.60402368632</c:v>
                </c:pt>
              </c:numCache>
            </c:numRef>
          </c:yVal>
          <c:smooth val="1"/>
          <c:extLst>
            <c:ext xmlns:c16="http://schemas.microsoft.com/office/drawing/2014/chart" uri="{C3380CC4-5D6E-409C-BE32-E72D297353CC}">
              <c16:uniqueId val="{00000001-9BE0-43AC-B1EB-5799FE64CD3F}"/>
            </c:ext>
          </c:extLst>
        </c:ser>
        <c:ser>
          <c:idx val="2"/>
          <c:order val="2"/>
          <c:tx>
            <c:v>Merkel, novax</c:v>
          </c:tx>
          <c:spPr>
            <a:ln w="19050" cap="rnd">
              <a:solidFill>
                <a:schemeClr val="accent3"/>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reopen!$G$9:$G$58</c:f>
              <c:numCache>
                <c:formatCode>#,##0</c:formatCode>
                <c:ptCount val="50"/>
                <c:pt idx="0">
                  <c:v>0</c:v>
                </c:pt>
                <c:pt idx="1">
                  <c:v>641515.10574018129</c:v>
                </c:pt>
                <c:pt idx="2">
                  <c:v>391161.11361442407</c:v>
                </c:pt>
                <c:pt idx="3">
                  <c:v>238217.60741651506</c:v>
                </c:pt>
                <c:pt idx="4">
                  <c:v>144966.81177409281</c:v>
                </c:pt>
                <c:pt idx="5">
                  <c:v>88179.24193166889</c:v>
                </c:pt>
                <c:pt idx="6">
                  <c:v>53622.157960873919</c:v>
                </c:pt>
                <c:pt idx="7">
                  <c:v>32602.381052889516</c:v>
                </c:pt>
                <c:pt idx="8">
                  <c:v>19820.290888764423</c:v>
                </c:pt>
                <c:pt idx="9">
                  <c:v>13387.555044062465</c:v>
                </c:pt>
                <c:pt idx="10">
                  <c:v>9042.2042035641389</c:v>
                </c:pt>
                <c:pt idx="11">
                  <c:v>6107.1003447163548</c:v>
                </c:pt>
                <c:pt idx="12">
                  <c:v>4124.6537432307587</c:v>
                </c:pt>
                <c:pt idx="13">
                  <c:v>2785.6998929044548</c:v>
                </c:pt>
                <c:pt idx="14">
                  <c:v>1881.3836714902573</c:v>
                </c:pt>
                <c:pt idx="15">
                  <c:v>1270.6263427078638</c:v>
                </c:pt>
                <c:pt idx="16">
                  <c:v>858.13696779654197</c:v>
                </c:pt>
                <c:pt idx="17">
                  <c:v>579.55439136672737</c:v>
                </c:pt>
                <c:pt idx="18">
                  <c:v>391.40917545701114</c:v>
                </c:pt>
                <c:pt idx="19">
                  <c:v>264.34266937505788</c:v>
                </c:pt>
                <c:pt idx="20">
                  <c:v>178.52670144937036</c:v>
                </c:pt>
                <c:pt idx="21">
                  <c:v>120.5698852492052</c:v>
                </c:pt>
                <c:pt idx="22">
                  <c:v>81.42810919891383</c:v>
                </c:pt>
                <c:pt idx="23">
                  <c:v>54.993295078124142</c:v>
                </c:pt>
                <c:pt idx="24">
                  <c:v>37.140270264294443</c:v>
                </c:pt>
                <c:pt idx="25">
                  <c:v>25.083048995719071</c:v>
                </c:pt>
                <c:pt idx="26">
                  <c:v>16.940083985052986</c:v>
                </c:pt>
                <c:pt idx="27">
                  <c:v>11.440651822164151</c:v>
                </c:pt>
                <c:pt idx="28">
                  <c:v>7.7265561104893132</c:v>
                </c:pt>
                <c:pt idx="29">
                  <c:v>5.2182051173400064</c:v>
                </c:pt>
                <c:pt idx="30">
                  <c:v>3.5241657230354644</c:v>
                </c:pt>
                <c:pt idx="31">
                  <c:v>2.3800796685990084</c:v>
                </c:pt>
                <c:pt idx="32">
                  <c:v>1.6074099891590774</c:v>
                </c:pt>
                <c:pt idx="33">
                  <c:v>1.0855799889102613</c:v>
                </c:pt>
                <c:pt idx="34">
                  <c:v>0.73315701424304613</c:v>
                </c:pt>
                <c:pt idx="35">
                  <c:v>0.49514472612868088</c:v>
                </c:pt>
                <c:pt idx="36">
                  <c:v>0.33440081001754179</c:v>
                </c:pt>
                <c:pt idx="37">
                  <c:v>0.22584084152040851</c:v>
                </c:pt>
                <c:pt idx="38">
                  <c:v>0.15252381015435054</c:v>
                </c:pt>
                <c:pt idx="39">
                  <c:v>0.10300843946681475</c:v>
                </c:pt>
                <c:pt idx="40">
                  <c:v>6.9567751993790602E-2</c:v>
                </c:pt>
                <c:pt idx="41">
                  <c:v>4.6983258279283235E-2</c:v>
                </c:pt>
                <c:pt idx="42">
                  <c:v>3.1730600672709726E-2</c:v>
                </c:pt>
                <c:pt idx="43">
                  <c:v>2.1429569932464202E-2</c:v>
                </c:pt>
                <c:pt idx="44">
                  <c:v>1.4472668582493015E-2</c:v>
                </c:pt>
                <c:pt idx="45">
                  <c:v>9.7742575585651123E-3</c:v>
                </c:pt>
                <c:pt idx="46">
                  <c:v>6.6011399538167571E-3</c:v>
                </c:pt>
                <c:pt idx="47">
                  <c:v>4.4581441022894536E-3</c:v>
                </c:pt>
                <c:pt idx="48">
                  <c:v>3.0108510008198049E-3</c:v>
                </c:pt>
                <c:pt idx="49">
                  <c:v>2.0334075213936575E-3</c:v>
                </c:pt>
              </c:numCache>
            </c:numRef>
          </c:yVal>
          <c:smooth val="1"/>
          <c:extLst>
            <c:ext xmlns:c16="http://schemas.microsoft.com/office/drawing/2014/chart" uri="{C3380CC4-5D6E-409C-BE32-E72D297353CC}">
              <c16:uniqueId val="{00000002-9BE0-43AC-B1EB-5799FE64CD3F}"/>
            </c:ext>
          </c:extLst>
        </c:ser>
        <c:ser>
          <c:idx val="3"/>
          <c:order val="3"/>
          <c:tx>
            <c:v>Trump+vax</c:v>
          </c:tx>
          <c:spPr>
            <a:ln w="19050" cap="rnd">
              <a:solidFill>
                <a:schemeClr val="accent4">
                  <a:alpha val="65000"/>
                </a:schemeClr>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reopen!$I$9:$I$58</c:f>
              <c:numCache>
                <c:formatCode>#,##0</c:formatCode>
                <c:ptCount val="50"/>
                <c:pt idx="0">
                  <c:v>0</c:v>
                </c:pt>
                <c:pt idx="1">
                  <c:v>1099740.1812688822</c:v>
                </c:pt>
                <c:pt idx="2">
                  <c:v>1147890.4631380513</c:v>
                </c:pt>
                <c:pt idx="3">
                  <c:v>1193849.6352773968</c:v>
                </c:pt>
                <c:pt idx="4">
                  <c:v>1236998.4676227046</c:v>
                </c:pt>
                <c:pt idx="5">
                  <c:v>1276714.1269816225</c:v>
                </c:pt>
                <c:pt idx="6">
                  <c:v>1312386.4905159031</c:v>
                </c:pt>
                <c:pt idx="7">
                  <c:v>1343435.7876639331</c:v>
                </c:pt>
                <c:pt idx="8">
                  <c:v>1369330.8316298318</c:v>
                </c:pt>
                <c:pt idx="9">
                  <c:v>1544007.7395292467</c:v>
                </c:pt>
                <c:pt idx="10">
                  <c:v>1732324.3252442339</c:v>
                </c:pt>
                <c:pt idx="11">
                  <c:v>1932729.5802322919</c:v>
                </c:pt>
                <c:pt idx="12">
                  <c:v>2142776.4754933785</c:v>
                </c:pt>
                <c:pt idx="13">
                  <c:v>2359005.1441635871</c:v>
                </c:pt>
                <c:pt idx="14">
                  <c:v>2576878.6750839348</c:v>
                </c:pt>
                <c:pt idx="15">
                  <c:v>2790801.0102731106</c:v>
                </c:pt>
                <c:pt idx="16">
                  <c:v>2994245.8280121945</c:v>
                </c:pt>
                <c:pt idx="17">
                  <c:v>3180018.0868374323</c:v>
                </c:pt>
                <c:pt idx="18">
                  <c:v>1651996.4292578045</c:v>
                </c:pt>
                <c:pt idx="19">
                  <c:v>848306.22402731259</c:v>
                </c:pt>
                <c:pt idx="20">
                  <c:v>432999.44987322943</c:v>
                </c:pt>
                <c:pt idx="21">
                  <c:v>220335.4288672015</c:v>
                </c:pt>
                <c:pt idx="22">
                  <c:v>111943.54103934419</c:v>
                </c:pt>
                <c:pt idx="23">
                  <c:v>56828.565465524116</c:v>
                </c:pt>
                <c:pt idx="24">
                  <c:v>28837.529848295799</c:v>
                </c:pt>
                <c:pt idx="25">
                  <c:v>14630.525861371876</c:v>
                </c:pt>
                <c:pt idx="26">
                  <c:v>7421.9223905604695</c:v>
                </c:pt>
                <c:pt idx="27">
                  <c:v>3764.8687903327636</c:v>
                </c:pt>
                <c:pt idx="28">
                  <c:v>1909.7283523747219</c:v>
                </c:pt>
                <c:pt idx="29">
                  <c:v>968.6958042773216</c:v>
                </c:pt>
                <c:pt idx="30">
                  <c:v>491.36049284435188</c:v>
                </c:pt>
                <c:pt idx="31">
                  <c:v>249.23643208631989</c:v>
                </c:pt>
                <c:pt idx="32">
                  <c:v>126.4218213050267</c:v>
                </c:pt>
                <c:pt idx="33">
                  <c:v>64.125707172534121</c:v>
                </c:pt>
                <c:pt idx="34">
                  <c:v>32.526856465446102</c:v>
                </c:pt>
                <c:pt idx="35">
                  <c:v>16.498783283812045</c:v>
                </c:pt>
                <c:pt idx="36">
                  <c:v>8.3687711425726583</c:v>
                </c:pt>
                <c:pt idx="37">
                  <c:v>4.2449388565700037</c:v>
                </c:pt>
                <c:pt idx="38">
                  <c:v>2.1531841464322121</c:v>
                </c:pt>
                <c:pt idx="39">
                  <c:v>1.0921716551753349</c:v>
                </c:pt>
                <c:pt idx="40">
                  <c:v>0.55398834188590729</c:v>
                </c:pt>
                <c:pt idx="41">
                  <c:v>0.28100260639069041</c:v>
                </c:pt>
                <c:pt idx="42">
                  <c:v>0.14253452404966652</c:v>
                </c:pt>
                <c:pt idx="43">
                  <c:v>7.2298583939544581E-2</c:v>
                </c:pt>
                <c:pt idx="44">
                  <c:v>3.6672415134602274E-2</c:v>
                </c:pt>
                <c:pt idx="45">
                  <c:v>1.8601554251417542E-2</c:v>
                </c:pt>
                <c:pt idx="46">
                  <c:v>9.4353704072230905E-3</c:v>
                </c:pt>
                <c:pt idx="47">
                  <c:v>4.7859557062933716E-3</c:v>
                </c:pt>
                <c:pt idx="48">
                  <c:v>2.4276070819947613E-3</c:v>
                </c:pt>
                <c:pt idx="49">
                  <c:v>1.231368718414883E-3</c:v>
                </c:pt>
              </c:numCache>
            </c:numRef>
          </c:yVal>
          <c:smooth val="1"/>
          <c:extLst>
            <c:ext xmlns:c16="http://schemas.microsoft.com/office/drawing/2014/chart" uri="{C3380CC4-5D6E-409C-BE32-E72D297353CC}">
              <c16:uniqueId val="{00000003-9BE0-43AC-B1EB-5799FE64CD3F}"/>
            </c:ext>
          </c:extLst>
        </c:ser>
        <c:ser>
          <c:idx val="4"/>
          <c:order val="4"/>
          <c:tx>
            <c:v>Cuomo+vax</c:v>
          </c:tx>
          <c:spPr>
            <a:ln w="19050" cap="rnd">
              <a:solidFill>
                <a:schemeClr val="accent1">
                  <a:alpha val="50000"/>
                </a:schemeClr>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reopen!$K$9:$K$58</c:f>
              <c:numCache>
                <c:formatCode>#,##0</c:formatCode>
                <c:ptCount val="50"/>
                <c:pt idx="0">
                  <c:v>0</c:v>
                </c:pt>
                <c:pt idx="1">
                  <c:v>971437.16012084601</c:v>
                </c:pt>
                <c:pt idx="2">
                  <c:v>896032.6491950528</c:v>
                </c:pt>
                <c:pt idx="3">
                  <c:v>824167.13236679544</c:v>
                </c:pt>
                <c:pt idx="4">
                  <c:v>756107.80487551552</c:v>
                </c:pt>
                <c:pt idx="5">
                  <c:v>692021.04735623451</c:v>
                </c:pt>
                <c:pt idx="6">
                  <c:v>631985.94981377234</c:v>
                </c:pt>
                <c:pt idx="7">
                  <c:v>576007.93528672145</c:v>
                </c:pt>
                <c:pt idx="8">
                  <c:v>524031.89799391653</c:v>
                </c:pt>
                <c:pt idx="9">
                  <c:v>528838.2693703986</c:v>
                </c:pt>
                <c:pt idx="10">
                  <c:v>532793.10466610792</c:v>
                </c:pt>
                <c:pt idx="11">
                  <c:v>535868.45032397634</c:v>
                </c:pt>
                <c:pt idx="12">
                  <c:v>538041.9572280061</c:v>
                </c:pt>
                <c:pt idx="13">
                  <c:v>539297.2150308711</c:v>
                </c:pt>
                <c:pt idx="14">
                  <c:v>539624.00566819787</c:v>
                </c:pt>
                <c:pt idx="15">
                  <c:v>539018.46951813903</c:v>
                </c:pt>
                <c:pt idx="16">
                  <c:v>537483.17973996326</c:v>
                </c:pt>
                <c:pt idx="17">
                  <c:v>535027.12257920112</c:v>
                </c:pt>
                <c:pt idx="18">
                  <c:v>265374.43952658179</c:v>
                </c:pt>
                <c:pt idx="19">
                  <c:v>131400.68571757112</c:v>
                </c:pt>
                <c:pt idx="20">
                  <c:v>65008.019567466828</c:v>
                </c:pt>
                <c:pt idx="21">
                  <c:v>32147.96229730481</c:v>
                </c:pt>
                <c:pt idx="22">
                  <c:v>15894.597799052081</c:v>
                </c:pt>
                <c:pt idx="23">
                  <c:v>7857.799118122869</c:v>
                </c:pt>
                <c:pt idx="24">
                  <c:v>3884.4558931774441</c:v>
                </c:pt>
                <c:pt idx="25">
                  <c:v>1920.2091655000454</c:v>
                </c:pt>
                <c:pt idx="26">
                  <c:v>949.20819624665921</c:v>
                </c:pt>
                <c:pt idx="27">
                  <c:v>469.21485195701536</c:v>
                </c:pt>
                <c:pt idx="28">
                  <c:v>231.9426959502907</c:v>
                </c:pt>
                <c:pt idx="29">
                  <c:v>114.65394401552705</c:v>
                </c:pt>
                <c:pt idx="30">
                  <c:v>56.675710611448146</c:v>
                </c:pt>
                <c:pt idx="31">
                  <c:v>28.015913639032256</c:v>
                </c:pt>
                <c:pt idx="32">
                  <c:v>13.848812235518107</c:v>
                </c:pt>
                <c:pt idx="33">
                  <c:v>6.845737233439003</c:v>
                </c:pt>
                <c:pt idx="34">
                  <c:v>3.3839809070912445</c:v>
                </c:pt>
                <c:pt idx="35">
                  <c:v>1.6727674665302752</c:v>
                </c:pt>
                <c:pt idx="36">
                  <c:v>0.82688142858464853</c:v>
                </c:pt>
                <c:pt idx="37">
                  <c:v>0.40874353845112066</c:v>
                </c:pt>
                <c:pt idx="38">
                  <c:v>0.20204986350837073</c:v>
                </c:pt>
                <c:pt idx="39">
                  <c:v>9.987716856641074E-2</c:v>
                </c:pt>
                <c:pt idx="40">
                  <c:v>4.9371222633740407E-2</c:v>
                </c:pt>
                <c:pt idx="41">
                  <c:v>2.4405153435541782E-2</c:v>
                </c:pt>
                <c:pt idx="42">
                  <c:v>1.2063940942615509E-2</c:v>
                </c:pt>
                <c:pt idx="43">
                  <c:v>5.9634401168561736E-3</c:v>
                </c:pt>
                <c:pt idx="44">
                  <c:v>2.9478441742309741E-3</c:v>
                </c:pt>
                <c:pt idx="45">
                  <c:v>1.4571765801452623E-3</c:v>
                </c:pt>
                <c:pt idx="46">
                  <c:v>7.2031066101305521E-4</c:v>
                </c:pt>
                <c:pt idx="47">
                  <c:v>3.5606353782801037E-4</c:v>
                </c:pt>
                <c:pt idx="48">
                  <c:v>1.760091163887531E-4</c:v>
                </c:pt>
                <c:pt idx="49">
                  <c:v>8.700472180018113E-5</c:v>
                </c:pt>
              </c:numCache>
            </c:numRef>
          </c:yVal>
          <c:smooth val="1"/>
          <c:extLst>
            <c:ext xmlns:c16="http://schemas.microsoft.com/office/drawing/2014/chart" uri="{C3380CC4-5D6E-409C-BE32-E72D297353CC}">
              <c16:uniqueId val="{00000004-9BE0-43AC-B1EB-5799FE64CD3F}"/>
            </c:ext>
          </c:extLst>
        </c:ser>
        <c:dLbls>
          <c:showLegendKey val="0"/>
          <c:showVal val="0"/>
          <c:showCatName val="0"/>
          <c:showSerName val="0"/>
          <c:showPercent val="0"/>
          <c:showBubbleSize val="0"/>
        </c:dLbls>
        <c:axId val="289697936"/>
        <c:axId val="289695856"/>
      </c:scatterChart>
      <c:valAx>
        <c:axId val="289697936"/>
        <c:scaling>
          <c:orientation val="minMax"/>
          <c:max val="24"/>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695856"/>
        <c:crosses val="autoZero"/>
        <c:crossBetween val="midCat"/>
        <c:majorUnit val="4"/>
      </c:valAx>
      <c:valAx>
        <c:axId val="289695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697936"/>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reopen!$P$2</c:f>
          <c:strCache>
            <c:ptCount val="1"/>
            <c:pt idx="0">
              <c:v>US: New Deaths per 15-day cycle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Trump, novax</c:v>
          </c:tx>
          <c:spPr>
            <a:ln w="19050" cap="rnd">
              <a:solidFill>
                <a:schemeClr val="accent1"/>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reopen!$D$9:$D$58</c:f>
              <c:numCache>
                <c:formatCode>#,##0</c:formatCode>
                <c:ptCount val="50"/>
                <c:pt idx="0">
                  <c:v>0</c:v>
                </c:pt>
                <c:pt idx="1">
                  <c:v>10500</c:v>
                </c:pt>
                <c:pt idx="2">
                  <c:v>10997.401812688822</c:v>
                </c:pt>
                <c:pt idx="3">
                  <c:v>11478.904631380514</c:v>
                </c:pt>
                <c:pt idx="4">
                  <c:v>11938.496352773967</c:v>
                </c:pt>
                <c:pt idx="5">
                  <c:v>12369.984676227046</c:v>
                </c:pt>
                <c:pt idx="6">
                  <c:v>12767.141269816226</c:v>
                </c:pt>
                <c:pt idx="7">
                  <c:v>13123.864905159031</c:v>
                </c:pt>
                <c:pt idx="8">
                  <c:v>13434.357876639331</c:v>
                </c:pt>
                <c:pt idx="9">
                  <c:v>13693.308316298318</c:v>
                </c:pt>
                <c:pt idx="10">
                  <c:v>15440.077395292466</c:v>
                </c:pt>
                <c:pt idx="11">
                  <c:v>17323.243252442338</c:v>
                </c:pt>
                <c:pt idx="12">
                  <c:v>19327.295802322918</c:v>
                </c:pt>
                <c:pt idx="13">
                  <c:v>21427.764754933785</c:v>
                </c:pt>
                <c:pt idx="14">
                  <c:v>23590.051441635871</c:v>
                </c:pt>
                <c:pt idx="15">
                  <c:v>25768.78675083935</c:v>
                </c:pt>
                <c:pt idx="16">
                  <c:v>27908.010102731107</c:v>
                </c:pt>
                <c:pt idx="17">
                  <c:v>29942.458280121944</c:v>
                </c:pt>
                <c:pt idx="18">
                  <c:v>31800.180868374326</c:v>
                </c:pt>
                <c:pt idx="19">
                  <c:v>33406.545444344491</c:v>
                </c:pt>
                <c:pt idx="20">
                  <c:v>34689.463279373238</c:v>
                </c:pt>
                <c:pt idx="21">
                  <c:v>35585.386217058956</c:v>
                </c:pt>
                <c:pt idx="22">
                  <c:v>36045.359391761696</c:v>
                </c:pt>
                <c:pt idx="23">
                  <c:v>36040.244442154981</c:v>
                </c:pt>
                <c:pt idx="24">
                  <c:v>35564.230199239617</c:v>
                </c:pt>
                <c:pt idx="25">
                  <c:v>34635.9600722178</c:v>
                </c:pt>
                <c:pt idx="26">
                  <c:v>33297.000605463378</c:v>
                </c:pt>
                <c:pt idx="27">
                  <c:v>31607.860646935627</c:v>
                </c:pt>
                <c:pt idx="28">
                  <c:v>29642.214063525909</c:v>
                </c:pt>
                <c:pt idx="29">
                  <c:v>27480.260421816445</c:v>
                </c:pt>
                <c:pt idx="30">
                  <c:v>25202.213051738476</c:v>
                </c:pt>
                <c:pt idx="31">
                  <c:v>22882.74389893741</c:v>
                </c:pt>
                <c:pt idx="32">
                  <c:v>20586.913556015777</c:v>
                </c:pt>
                <c:pt idx="33">
                  <c:v>18367.773216324047</c:v>
                </c:pt>
                <c:pt idx="34">
                  <c:v>16265.531094212127</c:v>
                </c:pt>
                <c:pt idx="35">
                  <c:v>14307.980649650988</c:v>
                </c:pt>
                <c:pt idx="36">
                  <c:v>12511.8025336748</c:v>
                </c:pt>
                <c:pt idx="37">
                  <c:v>10884.357324173199</c:v>
                </c:pt>
                <c:pt idx="38">
                  <c:v>9425.6489012672173</c:v>
                </c:pt>
                <c:pt idx="39">
                  <c:v>8130.2259285995715</c:v>
                </c:pt>
                <c:pt idx="40">
                  <c:v>6988.8766833552963</c:v>
                </c:pt>
                <c:pt idx="41">
                  <c:v>5990.0460554627198</c:v>
                </c:pt>
                <c:pt idx="42">
                  <c:v>5120.9574045062163</c:v>
                </c:pt>
                <c:pt idx="43">
                  <c:v>4368.456526697375</c:v>
                </c:pt>
                <c:pt idx="44">
                  <c:v>3719.61369602779</c:v>
                </c:pt>
                <c:pt idx="45">
                  <c:v>3162.1269936385424</c:v>
                </c:pt>
                <c:pt idx="46">
                  <c:v>2684.5700173593268</c:v>
                </c:pt>
                <c:pt idx="47">
                  <c:v>2276.5228128724393</c:v>
                </c:pt>
                <c:pt idx="48">
                  <c:v>1928.6187805806353</c:v>
                </c:pt>
                <c:pt idx="49">
                  <c:v>1632.5338465865671</c:v>
                </c:pt>
              </c:numCache>
            </c:numRef>
          </c:yVal>
          <c:smooth val="1"/>
          <c:extLst>
            <c:ext xmlns:c16="http://schemas.microsoft.com/office/drawing/2014/chart" uri="{C3380CC4-5D6E-409C-BE32-E72D297353CC}">
              <c16:uniqueId val="{00000000-5F05-420F-A02A-B656F15BEB59}"/>
            </c:ext>
          </c:extLst>
        </c:ser>
        <c:ser>
          <c:idx val="1"/>
          <c:order val="1"/>
          <c:tx>
            <c:v>Cuomo, novax</c:v>
          </c:tx>
          <c:spPr>
            <a:ln w="19050" cap="rnd">
              <a:solidFill>
                <a:schemeClr val="accent2"/>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reopen!$F$9:$F$58</c:f>
              <c:numCache>
                <c:formatCode>#,##0</c:formatCode>
                <c:ptCount val="50"/>
                <c:pt idx="0">
                  <c:v>0</c:v>
                </c:pt>
                <c:pt idx="1">
                  <c:v>10500</c:v>
                </c:pt>
                <c:pt idx="2">
                  <c:v>9714.3716012084606</c:v>
                </c:pt>
                <c:pt idx="3">
                  <c:v>8960.3264919505291</c:v>
                </c:pt>
                <c:pt idx="4">
                  <c:v>8241.6713236679552</c:v>
                </c:pt>
                <c:pt idx="5">
                  <c:v>7561.0780487551556</c:v>
                </c:pt>
                <c:pt idx="6">
                  <c:v>6920.2104735623452</c:v>
                </c:pt>
                <c:pt idx="7">
                  <c:v>6319.8594981377237</c:v>
                </c:pt>
                <c:pt idx="8">
                  <c:v>5760.0793528672148</c:v>
                </c:pt>
                <c:pt idx="9">
                  <c:v>5240.3189799391657</c:v>
                </c:pt>
                <c:pt idx="10">
                  <c:v>5288.3826937039858</c:v>
                </c:pt>
                <c:pt idx="11">
                  <c:v>5327.9310466610796</c:v>
                </c:pt>
                <c:pt idx="12">
                  <c:v>5358.6845032397632</c:v>
                </c:pt>
                <c:pt idx="13">
                  <c:v>5380.4195722800614</c:v>
                </c:pt>
                <c:pt idx="14">
                  <c:v>5392.9721503087112</c:v>
                </c:pt>
                <c:pt idx="15">
                  <c:v>5396.2400566819788</c:v>
                </c:pt>
                <c:pt idx="16">
                  <c:v>5390.1846951813905</c:v>
                </c:pt>
                <c:pt idx="17">
                  <c:v>5374.8317973996327</c:v>
                </c:pt>
                <c:pt idx="18">
                  <c:v>5350.2712257920111</c:v>
                </c:pt>
                <c:pt idx="19">
                  <c:v>5316.655837758497</c:v>
                </c:pt>
                <c:pt idx="20">
                  <c:v>5274.1994356707928</c:v>
                </c:pt>
                <c:pt idx="21">
                  <c:v>5223.173850468218</c:v>
                </c:pt>
                <c:pt idx="22">
                  <c:v>5163.9052274557453</c:v>
                </c:pt>
                <c:pt idx="23">
                  <c:v>5096.7696014739286</c:v>
                </c:pt>
                <c:pt idx="24">
                  <c:v>5022.1878640266123</c:v>
                </c:pt>
                <c:pt idx="25">
                  <c:v>4940.6202367590877</c:v>
                </c:pt>
                <c:pt idx="26">
                  <c:v>4852.5603735659433</c:v>
                </c:pt>
                <c:pt idx="27">
                  <c:v>4758.5292174511469</c:v>
                </c:pt>
                <c:pt idx="28">
                  <c:v>4659.068738124316</c:v>
                </c:pt>
                <c:pt idx="29">
                  <c:v>4554.7356724288584</c:v>
                </c:pt>
                <c:pt idx="30">
                  <c:v>4446.0953824396038</c:v>
                </c:pt>
                <c:pt idx="31">
                  <c:v>4333.7159359368143</c:v>
                </c:pt>
                <c:pt idx="32">
                  <c:v>4218.1625015401105</c:v>
                </c:pt>
                <c:pt idx="33">
                  <c:v>4099.9921366963354</c:v>
                </c:pt>
                <c:pt idx="34">
                  <c:v>3979.7490315974578</c:v>
                </c:pt>
                <c:pt idx="35">
                  <c:v>3857.9602565747659</c:v>
                </c:pt>
                <c:pt idx="36">
                  <c:v>3735.1320451420679</c:v>
                </c:pt>
                <c:pt idx="37">
                  <c:v>3611.7466301417817</c:v>
                </c:pt>
                <c:pt idx="38">
                  <c:v>3488.2596367972792</c:v>
                </c:pt>
                <c:pt idx="39">
                  <c:v>3365.0980242137139</c:v>
                </c:pt>
                <c:pt idx="40">
                  <c:v>3242.6585562236451</c:v>
                </c:pt>
                <c:pt idx="41">
                  <c:v>3121.3067735773379</c:v>
                </c:pt>
                <c:pt idx="42">
                  <c:v>3001.3764323804562</c:v>
                </c:pt>
                <c:pt idx="43">
                  <c:v>2883.1693683602211</c:v>
                </c:pt>
                <c:pt idx="44">
                  <c:v>2766.9557429098613</c:v>
                </c:pt>
                <c:pt idx="45">
                  <c:v>2652.9746247876519</c:v>
                </c:pt>
                <c:pt idx="46">
                  <c:v>2541.4348606639974</c:v>
                </c:pt>
                <c:pt idx="47">
                  <c:v>2432.5161882292132</c:v>
                </c:pt>
                <c:pt idx="48">
                  <c:v>2326.3705470971304</c:v>
                </c:pt>
                <c:pt idx="49">
                  <c:v>2223.1235450660429</c:v>
                </c:pt>
              </c:numCache>
            </c:numRef>
          </c:yVal>
          <c:smooth val="1"/>
          <c:extLst>
            <c:ext xmlns:c16="http://schemas.microsoft.com/office/drawing/2014/chart" uri="{C3380CC4-5D6E-409C-BE32-E72D297353CC}">
              <c16:uniqueId val="{00000001-5F05-420F-A02A-B656F15BEB59}"/>
            </c:ext>
          </c:extLst>
        </c:ser>
        <c:ser>
          <c:idx val="2"/>
          <c:order val="2"/>
          <c:tx>
            <c:v>Merkel, novax</c:v>
          </c:tx>
          <c:spPr>
            <a:ln w="19050" cap="rnd">
              <a:solidFill>
                <a:schemeClr val="accent3"/>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reopen!$H$9:$H$58</c:f>
              <c:numCache>
                <c:formatCode>#,##0</c:formatCode>
                <c:ptCount val="50"/>
                <c:pt idx="0">
                  <c:v>0</c:v>
                </c:pt>
                <c:pt idx="1">
                  <c:v>10500</c:v>
                </c:pt>
                <c:pt idx="2">
                  <c:v>6415.151057401813</c:v>
                </c:pt>
                <c:pt idx="3">
                  <c:v>3911.6111361442408</c:v>
                </c:pt>
                <c:pt idx="4">
                  <c:v>2382.1760741651506</c:v>
                </c:pt>
                <c:pt idx="5">
                  <c:v>1449.6681177409282</c:v>
                </c:pt>
                <c:pt idx="6">
                  <c:v>881.79241931668889</c:v>
                </c:pt>
                <c:pt idx="7">
                  <c:v>536.22157960873915</c:v>
                </c:pt>
                <c:pt idx="8">
                  <c:v>326.02381052889518</c:v>
                </c:pt>
                <c:pt idx="9">
                  <c:v>198.20290888764424</c:v>
                </c:pt>
                <c:pt idx="10">
                  <c:v>133.87555044062464</c:v>
                </c:pt>
                <c:pt idx="11">
                  <c:v>90.422042035641397</c:v>
                </c:pt>
                <c:pt idx="12">
                  <c:v>61.071003447163548</c:v>
                </c:pt>
                <c:pt idx="13">
                  <c:v>41.246537432307591</c:v>
                </c:pt>
                <c:pt idx="14">
                  <c:v>27.856998929044551</c:v>
                </c:pt>
                <c:pt idx="15">
                  <c:v>18.813836714902575</c:v>
                </c:pt>
                <c:pt idx="16">
                  <c:v>12.706263427078639</c:v>
                </c:pt>
                <c:pt idx="17">
                  <c:v>8.5813696779654194</c:v>
                </c:pt>
                <c:pt idx="18">
                  <c:v>5.7955439136672737</c:v>
                </c:pt>
                <c:pt idx="19">
                  <c:v>3.9140917545701117</c:v>
                </c:pt>
                <c:pt idx="20">
                  <c:v>2.643426693750579</c:v>
                </c:pt>
                <c:pt idx="21">
                  <c:v>1.7852670144937037</c:v>
                </c:pt>
                <c:pt idx="22">
                  <c:v>1.205698852492052</c:v>
                </c:pt>
                <c:pt idx="23">
                  <c:v>0.81428109198913834</c:v>
                </c:pt>
                <c:pt idx="24">
                  <c:v>0.54993295078124138</c:v>
                </c:pt>
                <c:pt idx="25">
                  <c:v>0.37140270264294445</c:v>
                </c:pt>
                <c:pt idx="26">
                  <c:v>0.25083048995719071</c:v>
                </c:pt>
                <c:pt idx="27">
                  <c:v>0.16940083985052987</c:v>
                </c:pt>
                <c:pt idx="28">
                  <c:v>0.11440651822164151</c:v>
                </c:pt>
                <c:pt idx="29">
                  <c:v>7.7265561104893132E-2</c:v>
                </c:pt>
                <c:pt idx="30">
                  <c:v>5.2182051173400065E-2</c:v>
                </c:pt>
                <c:pt idx="31">
                  <c:v>3.5241657230354648E-2</c:v>
                </c:pt>
                <c:pt idx="32">
                  <c:v>2.3800796685990083E-2</c:v>
                </c:pt>
                <c:pt idx="33">
                  <c:v>1.6074099891590775E-2</c:v>
                </c:pt>
                <c:pt idx="34">
                  <c:v>1.0855799889102614E-2</c:v>
                </c:pt>
                <c:pt idx="35">
                  <c:v>7.3315701424304614E-3</c:v>
                </c:pt>
                <c:pt idx="36">
                  <c:v>4.9514472612868085E-3</c:v>
                </c:pt>
                <c:pt idx="37">
                  <c:v>3.3440081001754182E-3</c:v>
                </c:pt>
                <c:pt idx="38">
                  <c:v>2.258408415204085E-3</c:v>
                </c:pt>
                <c:pt idx="39">
                  <c:v>1.5252381015435055E-3</c:v>
                </c:pt>
                <c:pt idx="40">
                  <c:v>1.0300843946681475E-3</c:v>
                </c:pt>
                <c:pt idx="41">
                  <c:v>6.95677519937906E-4</c:v>
                </c:pt>
                <c:pt idx="42">
                  <c:v>4.6983258279283238E-4</c:v>
                </c:pt>
                <c:pt idx="43">
                  <c:v>3.1730600672709729E-4</c:v>
                </c:pt>
                <c:pt idx="44">
                  <c:v>2.1429569932464201E-4</c:v>
                </c:pt>
                <c:pt idx="45">
                  <c:v>1.4472668582493015E-4</c:v>
                </c:pt>
                <c:pt idx="46">
                  <c:v>9.7742575585651122E-5</c:v>
                </c:pt>
                <c:pt idx="47">
                  <c:v>6.6011399538167567E-5</c:v>
                </c:pt>
                <c:pt idx="48">
                  <c:v>4.458144102289454E-5</c:v>
                </c:pt>
                <c:pt idx="49">
                  <c:v>3.0108510008198048E-5</c:v>
                </c:pt>
              </c:numCache>
            </c:numRef>
          </c:yVal>
          <c:smooth val="1"/>
          <c:extLst>
            <c:ext xmlns:c16="http://schemas.microsoft.com/office/drawing/2014/chart" uri="{C3380CC4-5D6E-409C-BE32-E72D297353CC}">
              <c16:uniqueId val="{00000002-5F05-420F-A02A-B656F15BEB59}"/>
            </c:ext>
          </c:extLst>
        </c:ser>
        <c:ser>
          <c:idx val="3"/>
          <c:order val="3"/>
          <c:tx>
            <c:v>Trump+vax</c:v>
          </c:tx>
          <c:spPr>
            <a:ln w="19050" cap="rnd">
              <a:solidFill>
                <a:schemeClr val="accent4">
                  <a:alpha val="65000"/>
                </a:schemeClr>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reopen!$J$9:$J$58</c:f>
              <c:numCache>
                <c:formatCode>#,##0</c:formatCode>
                <c:ptCount val="50"/>
                <c:pt idx="0">
                  <c:v>0</c:v>
                </c:pt>
                <c:pt idx="1">
                  <c:v>10500</c:v>
                </c:pt>
                <c:pt idx="2">
                  <c:v>10997.401812688822</c:v>
                </c:pt>
                <c:pt idx="3">
                  <c:v>11478.904631380514</c:v>
                </c:pt>
                <c:pt idx="4">
                  <c:v>11938.496352773967</c:v>
                </c:pt>
                <c:pt idx="5">
                  <c:v>12369.984676227046</c:v>
                </c:pt>
                <c:pt idx="6">
                  <c:v>12767.141269816226</c:v>
                </c:pt>
                <c:pt idx="7">
                  <c:v>13123.864905159031</c:v>
                </c:pt>
                <c:pt idx="8">
                  <c:v>13434.357876639331</c:v>
                </c:pt>
                <c:pt idx="9">
                  <c:v>13693.308316298318</c:v>
                </c:pt>
                <c:pt idx="10">
                  <c:v>15440.077395292466</c:v>
                </c:pt>
                <c:pt idx="11">
                  <c:v>17323.243252442338</c:v>
                </c:pt>
                <c:pt idx="12">
                  <c:v>19327.295802322918</c:v>
                </c:pt>
                <c:pt idx="13">
                  <c:v>21427.764754933785</c:v>
                </c:pt>
                <c:pt idx="14">
                  <c:v>23590.051441635871</c:v>
                </c:pt>
                <c:pt idx="15">
                  <c:v>25768.78675083935</c:v>
                </c:pt>
                <c:pt idx="16">
                  <c:v>27908.010102731107</c:v>
                </c:pt>
                <c:pt idx="17">
                  <c:v>29942.458280121944</c:v>
                </c:pt>
                <c:pt idx="18">
                  <c:v>31800.180868374326</c:v>
                </c:pt>
                <c:pt idx="19">
                  <c:v>16519.964292578046</c:v>
                </c:pt>
                <c:pt idx="20">
                  <c:v>8483.062240273126</c:v>
                </c:pt>
                <c:pt idx="21">
                  <c:v>4329.9944987322942</c:v>
                </c:pt>
                <c:pt idx="22">
                  <c:v>2203.3542886720152</c:v>
                </c:pt>
                <c:pt idx="23">
                  <c:v>1119.4354103934418</c:v>
                </c:pt>
                <c:pt idx="24">
                  <c:v>568.28565465524116</c:v>
                </c:pt>
                <c:pt idx="25">
                  <c:v>288.37529848295799</c:v>
                </c:pt>
                <c:pt idx="26">
                  <c:v>146.30525861371876</c:v>
                </c:pt>
                <c:pt idx="27">
                  <c:v>74.219223905604693</c:v>
                </c:pt>
                <c:pt idx="28">
                  <c:v>37.648687903327634</c:v>
                </c:pt>
                <c:pt idx="29">
                  <c:v>19.097283523747219</c:v>
                </c:pt>
                <c:pt idx="30">
                  <c:v>9.6869580427732167</c:v>
                </c:pt>
                <c:pt idx="31">
                  <c:v>4.9136049284435188</c:v>
                </c:pt>
                <c:pt idx="32">
                  <c:v>2.4923643208631989</c:v>
                </c:pt>
                <c:pt idx="33">
                  <c:v>1.264218213050267</c:v>
                </c:pt>
                <c:pt idx="34">
                  <c:v>0.64125707172534119</c:v>
                </c:pt>
                <c:pt idx="35">
                  <c:v>0.32526856465446102</c:v>
                </c:pt>
                <c:pt idx="36">
                  <c:v>0.16498783283812046</c:v>
                </c:pt>
                <c:pt idx="37">
                  <c:v>8.3687711425726591E-2</c:v>
                </c:pt>
                <c:pt idx="38">
                  <c:v>4.244938856570004E-2</c:v>
                </c:pt>
                <c:pt idx="39">
                  <c:v>2.1531841464322122E-2</c:v>
                </c:pt>
                <c:pt idx="40">
                  <c:v>1.0921716551753349E-2</c:v>
                </c:pt>
                <c:pt idx="41">
                  <c:v>5.5398834188590731E-3</c:v>
                </c:pt>
                <c:pt idx="42">
                  <c:v>2.8100260639069043E-3</c:v>
                </c:pt>
                <c:pt idx="43">
                  <c:v>1.4253452404966653E-3</c:v>
                </c:pt>
                <c:pt idx="44">
                  <c:v>7.2298583939544583E-4</c:v>
                </c:pt>
                <c:pt idx="45">
                  <c:v>3.6672415134602276E-4</c:v>
                </c:pt>
                <c:pt idx="46">
                  <c:v>1.8601554251417542E-4</c:v>
                </c:pt>
                <c:pt idx="47">
                  <c:v>9.4353704072230906E-5</c:v>
                </c:pt>
                <c:pt idx="48">
                  <c:v>4.7859557062933715E-5</c:v>
                </c:pt>
                <c:pt idx="49">
                  <c:v>2.4276070819947613E-5</c:v>
                </c:pt>
              </c:numCache>
            </c:numRef>
          </c:yVal>
          <c:smooth val="1"/>
          <c:extLst>
            <c:ext xmlns:c16="http://schemas.microsoft.com/office/drawing/2014/chart" uri="{C3380CC4-5D6E-409C-BE32-E72D297353CC}">
              <c16:uniqueId val="{00000003-5F05-420F-A02A-B656F15BEB59}"/>
            </c:ext>
          </c:extLst>
        </c:ser>
        <c:ser>
          <c:idx val="4"/>
          <c:order val="4"/>
          <c:tx>
            <c:v>Cuomo+vax</c:v>
          </c:tx>
          <c:spPr>
            <a:ln w="19050" cap="rnd">
              <a:solidFill>
                <a:schemeClr val="accent5">
                  <a:alpha val="50000"/>
                </a:schemeClr>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reopen!$L$9:$L$58</c:f>
              <c:numCache>
                <c:formatCode>#,##0</c:formatCode>
                <c:ptCount val="50"/>
                <c:pt idx="0">
                  <c:v>0</c:v>
                </c:pt>
                <c:pt idx="1">
                  <c:v>10500</c:v>
                </c:pt>
                <c:pt idx="2">
                  <c:v>9714.3716012084606</c:v>
                </c:pt>
                <c:pt idx="3">
                  <c:v>8960.3264919505291</c:v>
                </c:pt>
                <c:pt idx="4">
                  <c:v>8241.6713236679552</c:v>
                </c:pt>
                <c:pt idx="5">
                  <c:v>7561.0780487551556</c:v>
                </c:pt>
                <c:pt idx="6">
                  <c:v>6920.2104735623452</c:v>
                </c:pt>
                <c:pt idx="7">
                  <c:v>6319.8594981377237</c:v>
                </c:pt>
                <c:pt idx="8">
                  <c:v>5760.0793528672148</c:v>
                </c:pt>
                <c:pt idx="9">
                  <c:v>5240.3189799391657</c:v>
                </c:pt>
                <c:pt idx="10">
                  <c:v>5288.3826937039858</c:v>
                </c:pt>
                <c:pt idx="11">
                  <c:v>5327.9310466610796</c:v>
                </c:pt>
                <c:pt idx="12">
                  <c:v>5358.6845032397632</c:v>
                </c:pt>
                <c:pt idx="13">
                  <c:v>5380.4195722800614</c:v>
                </c:pt>
                <c:pt idx="14">
                  <c:v>5392.9721503087112</c:v>
                </c:pt>
                <c:pt idx="15">
                  <c:v>5396.2400566819788</c:v>
                </c:pt>
                <c:pt idx="16">
                  <c:v>5390.1846951813905</c:v>
                </c:pt>
                <c:pt idx="17">
                  <c:v>5374.8317973996327</c:v>
                </c:pt>
                <c:pt idx="18">
                  <c:v>5350.2712257920111</c:v>
                </c:pt>
                <c:pt idx="19">
                  <c:v>2653.7443952658177</c:v>
                </c:pt>
                <c:pt idx="20">
                  <c:v>1314.0068571757113</c:v>
                </c:pt>
                <c:pt idx="21">
                  <c:v>650.08019567466829</c:v>
                </c:pt>
                <c:pt idx="22">
                  <c:v>321.47962297304809</c:v>
                </c:pt>
                <c:pt idx="23">
                  <c:v>158.94597799052082</c:v>
                </c:pt>
                <c:pt idx="24">
                  <c:v>78.577991181228697</c:v>
                </c:pt>
                <c:pt idx="25">
                  <c:v>38.844558931774444</c:v>
                </c:pt>
                <c:pt idx="26">
                  <c:v>19.202091655000455</c:v>
                </c:pt>
                <c:pt idx="27">
                  <c:v>9.4920819624665924</c:v>
                </c:pt>
                <c:pt idx="28">
                  <c:v>4.6921485195701536</c:v>
                </c:pt>
                <c:pt idx="29">
                  <c:v>2.3194269595029069</c:v>
                </c:pt>
                <c:pt idx="30">
                  <c:v>1.1465394401552704</c:v>
                </c:pt>
                <c:pt idx="31">
                  <c:v>0.56675710611448149</c:v>
                </c:pt>
                <c:pt idx="32">
                  <c:v>0.28015913639032258</c:v>
                </c:pt>
                <c:pt idx="33">
                  <c:v>0.13848812235518107</c:v>
                </c:pt>
                <c:pt idx="34">
                  <c:v>6.8457372334390032E-2</c:v>
                </c:pt>
                <c:pt idx="35">
                  <c:v>3.3839809070912448E-2</c:v>
                </c:pt>
                <c:pt idx="36">
                  <c:v>1.6727674665302752E-2</c:v>
                </c:pt>
                <c:pt idx="37">
                  <c:v>8.2688142858464847E-3</c:v>
                </c:pt>
                <c:pt idx="38">
                  <c:v>4.0874353845112062E-3</c:v>
                </c:pt>
                <c:pt idx="39">
                  <c:v>2.0204986350837073E-3</c:v>
                </c:pt>
                <c:pt idx="40">
                  <c:v>9.9877168566410738E-4</c:v>
                </c:pt>
                <c:pt idx="41">
                  <c:v>4.9371222633740411E-4</c:v>
                </c:pt>
                <c:pt idx="42">
                  <c:v>2.4405153435541784E-4</c:v>
                </c:pt>
                <c:pt idx="43">
                  <c:v>1.2063940942615508E-4</c:v>
                </c:pt>
                <c:pt idx="44">
                  <c:v>5.9634401168561734E-5</c:v>
                </c:pt>
                <c:pt idx="45">
                  <c:v>2.9478441742309742E-5</c:v>
                </c:pt>
                <c:pt idx="46">
                  <c:v>1.4571765801452623E-5</c:v>
                </c:pt>
                <c:pt idx="47">
                  <c:v>7.2031066101305521E-6</c:v>
                </c:pt>
                <c:pt idx="48">
                  <c:v>3.5606353782801037E-6</c:v>
                </c:pt>
                <c:pt idx="49">
                  <c:v>1.760091163887531E-6</c:v>
                </c:pt>
              </c:numCache>
            </c:numRef>
          </c:yVal>
          <c:smooth val="1"/>
          <c:extLst>
            <c:ext xmlns:c16="http://schemas.microsoft.com/office/drawing/2014/chart" uri="{C3380CC4-5D6E-409C-BE32-E72D297353CC}">
              <c16:uniqueId val="{00000004-5F05-420F-A02A-B656F15BEB59}"/>
            </c:ext>
          </c:extLst>
        </c:ser>
        <c:dLbls>
          <c:showLegendKey val="0"/>
          <c:showVal val="0"/>
          <c:showCatName val="0"/>
          <c:showSerName val="0"/>
          <c:showPercent val="0"/>
          <c:showBubbleSize val="0"/>
        </c:dLbls>
        <c:axId val="289697936"/>
        <c:axId val="289695856"/>
      </c:scatterChart>
      <c:valAx>
        <c:axId val="289697936"/>
        <c:scaling>
          <c:orientation val="minMax"/>
          <c:max val="24"/>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695856"/>
        <c:crosses val="autoZero"/>
        <c:crossBetween val="midCat"/>
        <c:majorUnit val="4"/>
      </c:valAx>
      <c:valAx>
        <c:axId val="289695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697936"/>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reopen!$P$5</c:f>
          <c:strCache>
            <c:ptCount val="1"/>
            <c:pt idx="0">
              <c:v>US: New Infections (w/o Trump) / 15 days</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v>Cuomo, novax</c:v>
          </c:tx>
          <c:spPr>
            <a:ln w="19050" cap="rnd">
              <a:solidFill>
                <a:schemeClr val="accent2"/>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reopen!$E$9:$E$58</c:f>
              <c:numCache>
                <c:formatCode>#,##0</c:formatCode>
                <c:ptCount val="50"/>
                <c:pt idx="0">
                  <c:v>0</c:v>
                </c:pt>
                <c:pt idx="1">
                  <c:v>971437.16012084601</c:v>
                </c:pt>
                <c:pt idx="2">
                  <c:v>896032.6491950528</c:v>
                </c:pt>
                <c:pt idx="3">
                  <c:v>824167.13236679544</c:v>
                </c:pt>
                <c:pt idx="4">
                  <c:v>756107.80487551552</c:v>
                </c:pt>
                <c:pt idx="5">
                  <c:v>692021.04735623451</c:v>
                </c:pt>
                <c:pt idx="6">
                  <c:v>631985.94981377234</c:v>
                </c:pt>
                <c:pt idx="7">
                  <c:v>576007.93528672145</c:v>
                </c:pt>
                <c:pt idx="8">
                  <c:v>524031.89799391653</c:v>
                </c:pt>
                <c:pt idx="9">
                  <c:v>528838.2693703986</c:v>
                </c:pt>
                <c:pt idx="10">
                  <c:v>532793.10466610792</c:v>
                </c:pt>
                <c:pt idx="11">
                  <c:v>535868.45032397634</c:v>
                </c:pt>
                <c:pt idx="12">
                  <c:v>538041.9572280061</c:v>
                </c:pt>
                <c:pt idx="13">
                  <c:v>539297.2150308711</c:v>
                </c:pt>
                <c:pt idx="14">
                  <c:v>539624.00566819787</c:v>
                </c:pt>
                <c:pt idx="15">
                  <c:v>539018.46951813903</c:v>
                </c:pt>
                <c:pt idx="16">
                  <c:v>537483.17973996326</c:v>
                </c:pt>
                <c:pt idx="17">
                  <c:v>535027.12257920112</c:v>
                </c:pt>
                <c:pt idx="18">
                  <c:v>531665.58377584966</c:v>
                </c:pt>
                <c:pt idx="19">
                  <c:v>527419.94356707926</c:v>
                </c:pt>
                <c:pt idx="20">
                  <c:v>522317.38504682179</c:v>
                </c:pt>
                <c:pt idx="21">
                  <c:v>516390.52274557453</c:v>
                </c:pt>
                <c:pt idx="22">
                  <c:v>509676.96014739282</c:v>
                </c:pt>
                <c:pt idx="23">
                  <c:v>502218.78640266124</c:v>
                </c:pt>
                <c:pt idx="24">
                  <c:v>494062.0236759088</c:v>
                </c:pt>
                <c:pt idx="25">
                  <c:v>485256.03735659429</c:v>
                </c:pt>
                <c:pt idx="26">
                  <c:v>475852.92174511467</c:v>
                </c:pt>
                <c:pt idx="27">
                  <c:v>465906.87381243159</c:v>
                </c:pt>
                <c:pt idx="28">
                  <c:v>455473.56724288582</c:v>
                </c:pt>
                <c:pt idx="29">
                  <c:v>444609.53824396036</c:v>
                </c:pt>
                <c:pt idx="30">
                  <c:v>433371.59359368146</c:v>
                </c:pt>
                <c:pt idx="31">
                  <c:v>421816.25015401107</c:v>
                </c:pt>
                <c:pt idx="32">
                  <c:v>409999.21366963349</c:v>
                </c:pt>
                <c:pt idx="33">
                  <c:v>397974.90315974579</c:v>
                </c:pt>
                <c:pt idx="34">
                  <c:v>385796.02565747657</c:v>
                </c:pt>
                <c:pt idx="35">
                  <c:v>373513.20451420679</c:v>
                </c:pt>
                <c:pt idx="36">
                  <c:v>361174.66301417816</c:v>
                </c:pt>
                <c:pt idx="37">
                  <c:v>348825.96367972792</c:v>
                </c:pt>
                <c:pt idx="38">
                  <c:v>336509.80242137139</c:v>
                </c:pt>
                <c:pt idx="39">
                  <c:v>324265.8556223645</c:v>
                </c:pt>
                <c:pt idx="40">
                  <c:v>312130.67735773377</c:v>
                </c:pt>
                <c:pt idx="41">
                  <c:v>300137.64323804562</c:v>
                </c:pt>
                <c:pt idx="42">
                  <c:v>288316.93683602213</c:v>
                </c:pt>
                <c:pt idx="43">
                  <c:v>276695.57429098611</c:v>
                </c:pt>
                <c:pt idx="44">
                  <c:v>265297.46247876517</c:v>
                </c:pt>
                <c:pt idx="45">
                  <c:v>254143.48606639975</c:v>
                </c:pt>
                <c:pt idx="46">
                  <c:v>243251.6188229213</c:v>
                </c:pt>
                <c:pt idx="47">
                  <c:v>232637.05470971303</c:v>
                </c:pt>
                <c:pt idx="48">
                  <c:v>222312.35450660429</c:v>
                </c:pt>
                <c:pt idx="49">
                  <c:v>212287.60402368632</c:v>
                </c:pt>
              </c:numCache>
            </c:numRef>
          </c:yVal>
          <c:smooth val="1"/>
          <c:extLst>
            <c:ext xmlns:c16="http://schemas.microsoft.com/office/drawing/2014/chart" uri="{C3380CC4-5D6E-409C-BE32-E72D297353CC}">
              <c16:uniqueId val="{00000001-0BC0-4075-8215-6FD526927D8F}"/>
            </c:ext>
          </c:extLst>
        </c:ser>
        <c:ser>
          <c:idx val="2"/>
          <c:order val="1"/>
          <c:tx>
            <c:v>Merkel, novax</c:v>
          </c:tx>
          <c:spPr>
            <a:ln w="19050" cap="rnd">
              <a:solidFill>
                <a:schemeClr val="accent3"/>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reopen!$G$9:$G$58</c:f>
              <c:numCache>
                <c:formatCode>#,##0</c:formatCode>
                <c:ptCount val="50"/>
                <c:pt idx="0">
                  <c:v>0</c:v>
                </c:pt>
                <c:pt idx="1">
                  <c:v>641515.10574018129</c:v>
                </c:pt>
                <c:pt idx="2">
                  <c:v>391161.11361442407</c:v>
                </c:pt>
                <c:pt idx="3">
                  <c:v>238217.60741651506</c:v>
                </c:pt>
                <c:pt idx="4">
                  <c:v>144966.81177409281</c:v>
                </c:pt>
                <c:pt idx="5">
                  <c:v>88179.24193166889</c:v>
                </c:pt>
                <c:pt idx="6">
                  <c:v>53622.157960873919</c:v>
                </c:pt>
                <c:pt idx="7">
                  <c:v>32602.381052889516</c:v>
                </c:pt>
                <c:pt idx="8">
                  <c:v>19820.290888764423</c:v>
                </c:pt>
                <c:pt idx="9">
                  <c:v>13387.555044062465</c:v>
                </c:pt>
                <c:pt idx="10">
                  <c:v>9042.2042035641389</c:v>
                </c:pt>
                <c:pt idx="11">
                  <c:v>6107.1003447163548</c:v>
                </c:pt>
                <c:pt idx="12">
                  <c:v>4124.6537432307587</c:v>
                </c:pt>
                <c:pt idx="13">
                  <c:v>2785.6998929044548</c:v>
                </c:pt>
                <c:pt idx="14">
                  <c:v>1881.3836714902573</c:v>
                </c:pt>
                <c:pt idx="15">
                  <c:v>1270.6263427078638</c:v>
                </c:pt>
                <c:pt idx="16">
                  <c:v>858.13696779654197</c:v>
                </c:pt>
                <c:pt idx="17">
                  <c:v>579.55439136672737</c:v>
                </c:pt>
                <c:pt idx="18">
                  <c:v>391.40917545701114</c:v>
                </c:pt>
                <c:pt idx="19">
                  <c:v>264.34266937505788</c:v>
                </c:pt>
                <c:pt idx="20">
                  <c:v>178.52670144937036</c:v>
                </c:pt>
                <c:pt idx="21">
                  <c:v>120.5698852492052</c:v>
                </c:pt>
                <c:pt idx="22">
                  <c:v>81.42810919891383</c:v>
                </c:pt>
                <c:pt idx="23">
                  <c:v>54.993295078124142</c:v>
                </c:pt>
                <c:pt idx="24">
                  <c:v>37.140270264294443</c:v>
                </c:pt>
                <c:pt idx="25">
                  <c:v>25.083048995719071</c:v>
                </c:pt>
                <c:pt idx="26">
                  <c:v>16.940083985052986</c:v>
                </c:pt>
                <c:pt idx="27">
                  <c:v>11.440651822164151</c:v>
                </c:pt>
                <c:pt idx="28">
                  <c:v>7.7265561104893132</c:v>
                </c:pt>
                <c:pt idx="29">
                  <c:v>5.2182051173400064</c:v>
                </c:pt>
                <c:pt idx="30">
                  <c:v>3.5241657230354644</c:v>
                </c:pt>
                <c:pt idx="31">
                  <c:v>2.3800796685990084</c:v>
                </c:pt>
                <c:pt idx="32">
                  <c:v>1.6074099891590774</c:v>
                </c:pt>
                <c:pt idx="33">
                  <c:v>1.0855799889102613</c:v>
                </c:pt>
                <c:pt idx="34">
                  <c:v>0.73315701424304613</c:v>
                </c:pt>
                <c:pt idx="35">
                  <c:v>0.49514472612868088</c:v>
                </c:pt>
                <c:pt idx="36">
                  <c:v>0.33440081001754179</c:v>
                </c:pt>
                <c:pt idx="37">
                  <c:v>0.22584084152040851</c:v>
                </c:pt>
                <c:pt idx="38">
                  <c:v>0.15252381015435054</c:v>
                </c:pt>
                <c:pt idx="39">
                  <c:v>0.10300843946681475</c:v>
                </c:pt>
                <c:pt idx="40">
                  <c:v>6.9567751993790602E-2</c:v>
                </c:pt>
                <c:pt idx="41">
                  <c:v>4.6983258279283235E-2</c:v>
                </c:pt>
                <c:pt idx="42">
                  <c:v>3.1730600672709726E-2</c:v>
                </c:pt>
                <c:pt idx="43">
                  <c:v>2.1429569932464202E-2</c:v>
                </c:pt>
                <c:pt idx="44">
                  <c:v>1.4472668582493015E-2</c:v>
                </c:pt>
                <c:pt idx="45">
                  <c:v>9.7742575585651123E-3</c:v>
                </c:pt>
                <c:pt idx="46">
                  <c:v>6.6011399538167571E-3</c:v>
                </c:pt>
                <c:pt idx="47">
                  <c:v>4.4581441022894536E-3</c:v>
                </c:pt>
                <c:pt idx="48">
                  <c:v>3.0108510008198049E-3</c:v>
                </c:pt>
                <c:pt idx="49">
                  <c:v>2.0334075213936575E-3</c:v>
                </c:pt>
              </c:numCache>
            </c:numRef>
          </c:yVal>
          <c:smooth val="1"/>
          <c:extLst>
            <c:ext xmlns:c16="http://schemas.microsoft.com/office/drawing/2014/chart" uri="{C3380CC4-5D6E-409C-BE32-E72D297353CC}">
              <c16:uniqueId val="{00000002-0BC0-4075-8215-6FD526927D8F}"/>
            </c:ext>
          </c:extLst>
        </c:ser>
        <c:ser>
          <c:idx val="4"/>
          <c:order val="2"/>
          <c:tx>
            <c:v>Cuomo+vax</c:v>
          </c:tx>
          <c:spPr>
            <a:ln w="19050" cap="rnd">
              <a:solidFill>
                <a:schemeClr val="accent5">
                  <a:alpha val="50000"/>
                </a:schemeClr>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reopen!$K$9:$K$58</c:f>
              <c:numCache>
                <c:formatCode>#,##0</c:formatCode>
                <c:ptCount val="50"/>
                <c:pt idx="0">
                  <c:v>0</c:v>
                </c:pt>
                <c:pt idx="1">
                  <c:v>971437.16012084601</c:v>
                </c:pt>
                <c:pt idx="2">
                  <c:v>896032.6491950528</c:v>
                </c:pt>
                <c:pt idx="3">
                  <c:v>824167.13236679544</c:v>
                </c:pt>
                <c:pt idx="4">
                  <c:v>756107.80487551552</c:v>
                </c:pt>
                <c:pt idx="5">
                  <c:v>692021.04735623451</c:v>
                </c:pt>
                <c:pt idx="6">
                  <c:v>631985.94981377234</c:v>
                </c:pt>
                <c:pt idx="7">
                  <c:v>576007.93528672145</c:v>
                </c:pt>
                <c:pt idx="8">
                  <c:v>524031.89799391653</c:v>
                </c:pt>
                <c:pt idx="9">
                  <c:v>528838.2693703986</c:v>
                </c:pt>
                <c:pt idx="10">
                  <c:v>532793.10466610792</c:v>
                </c:pt>
                <c:pt idx="11">
                  <c:v>535868.45032397634</c:v>
                </c:pt>
                <c:pt idx="12">
                  <c:v>538041.9572280061</c:v>
                </c:pt>
                <c:pt idx="13">
                  <c:v>539297.2150308711</c:v>
                </c:pt>
                <c:pt idx="14">
                  <c:v>539624.00566819787</c:v>
                </c:pt>
                <c:pt idx="15">
                  <c:v>539018.46951813903</c:v>
                </c:pt>
                <c:pt idx="16">
                  <c:v>537483.17973996326</c:v>
                </c:pt>
                <c:pt idx="17">
                  <c:v>535027.12257920112</c:v>
                </c:pt>
                <c:pt idx="18">
                  <c:v>265374.43952658179</c:v>
                </c:pt>
                <c:pt idx="19">
                  <c:v>131400.68571757112</c:v>
                </c:pt>
                <c:pt idx="20">
                  <c:v>65008.019567466828</c:v>
                </c:pt>
                <c:pt idx="21">
                  <c:v>32147.96229730481</c:v>
                </c:pt>
                <c:pt idx="22">
                  <c:v>15894.597799052081</c:v>
                </c:pt>
                <c:pt idx="23">
                  <c:v>7857.799118122869</c:v>
                </c:pt>
                <c:pt idx="24">
                  <c:v>3884.4558931774441</c:v>
                </c:pt>
                <c:pt idx="25">
                  <c:v>1920.2091655000454</c:v>
                </c:pt>
                <c:pt idx="26">
                  <c:v>949.20819624665921</c:v>
                </c:pt>
                <c:pt idx="27">
                  <c:v>469.21485195701536</c:v>
                </c:pt>
                <c:pt idx="28">
                  <c:v>231.9426959502907</c:v>
                </c:pt>
                <c:pt idx="29">
                  <c:v>114.65394401552705</c:v>
                </c:pt>
                <c:pt idx="30">
                  <c:v>56.675710611448146</c:v>
                </c:pt>
                <c:pt idx="31">
                  <c:v>28.015913639032256</c:v>
                </c:pt>
                <c:pt idx="32">
                  <c:v>13.848812235518107</c:v>
                </c:pt>
                <c:pt idx="33">
                  <c:v>6.845737233439003</c:v>
                </c:pt>
                <c:pt idx="34">
                  <c:v>3.3839809070912445</c:v>
                </c:pt>
                <c:pt idx="35">
                  <c:v>1.6727674665302752</c:v>
                </c:pt>
                <c:pt idx="36">
                  <c:v>0.82688142858464853</c:v>
                </c:pt>
                <c:pt idx="37">
                  <c:v>0.40874353845112066</c:v>
                </c:pt>
                <c:pt idx="38">
                  <c:v>0.20204986350837073</c:v>
                </c:pt>
                <c:pt idx="39">
                  <c:v>9.987716856641074E-2</c:v>
                </c:pt>
                <c:pt idx="40">
                  <c:v>4.9371222633740407E-2</c:v>
                </c:pt>
                <c:pt idx="41">
                  <c:v>2.4405153435541782E-2</c:v>
                </c:pt>
                <c:pt idx="42">
                  <c:v>1.2063940942615509E-2</c:v>
                </c:pt>
                <c:pt idx="43">
                  <c:v>5.9634401168561736E-3</c:v>
                </c:pt>
                <c:pt idx="44">
                  <c:v>2.9478441742309741E-3</c:v>
                </c:pt>
                <c:pt idx="45">
                  <c:v>1.4571765801452623E-3</c:v>
                </c:pt>
                <c:pt idx="46">
                  <c:v>7.2031066101305521E-4</c:v>
                </c:pt>
                <c:pt idx="47">
                  <c:v>3.5606353782801037E-4</c:v>
                </c:pt>
                <c:pt idx="48">
                  <c:v>1.760091163887531E-4</c:v>
                </c:pt>
                <c:pt idx="49">
                  <c:v>8.700472180018113E-5</c:v>
                </c:pt>
              </c:numCache>
            </c:numRef>
          </c:yVal>
          <c:smooth val="1"/>
          <c:extLst>
            <c:ext xmlns:c16="http://schemas.microsoft.com/office/drawing/2014/chart" uri="{C3380CC4-5D6E-409C-BE32-E72D297353CC}">
              <c16:uniqueId val="{00000004-0BC0-4075-8215-6FD526927D8F}"/>
            </c:ext>
          </c:extLst>
        </c:ser>
        <c:dLbls>
          <c:showLegendKey val="0"/>
          <c:showVal val="0"/>
          <c:showCatName val="0"/>
          <c:showSerName val="0"/>
          <c:showPercent val="0"/>
          <c:showBubbleSize val="0"/>
        </c:dLbls>
        <c:axId val="289697936"/>
        <c:axId val="289695856"/>
      </c:scatterChart>
      <c:valAx>
        <c:axId val="289697936"/>
        <c:scaling>
          <c:orientation val="minMax"/>
          <c:max val="24"/>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695856"/>
        <c:crosses val="autoZero"/>
        <c:crossBetween val="midCat"/>
        <c:majorUnit val="4"/>
      </c:valAx>
      <c:valAx>
        <c:axId val="289695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697936"/>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reopen!$P$3</c:f>
          <c:strCache>
            <c:ptCount val="1"/>
            <c:pt idx="0">
              <c:v>US: New Deaths (w/o Trump) per 15-day cycle</c:v>
            </c:pt>
          </c:strCache>
        </c:strRef>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v>Cuomo, novax</c:v>
          </c:tx>
          <c:spPr>
            <a:ln w="19050" cap="rnd">
              <a:solidFill>
                <a:schemeClr val="accent2"/>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reopen!$F$9:$F$58</c:f>
              <c:numCache>
                <c:formatCode>#,##0</c:formatCode>
                <c:ptCount val="50"/>
                <c:pt idx="0">
                  <c:v>0</c:v>
                </c:pt>
                <c:pt idx="1">
                  <c:v>10500</c:v>
                </c:pt>
                <c:pt idx="2">
                  <c:v>9714.3716012084606</c:v>
                </c:pt>
                <c:pt idx="3">
                  <c:v>8960.3264919505291</c:v>
                </c:pt>
                <c:pt idx="4">
                  <c:v>8241.6713236679552</c:v>
                </c:pt>
                <c:pt idx="5">
                  <c:v>7561.0780487551556</c:v>
                </c:pt>
                <c:pt idx="6">
                  <c:v>6920.2104735623452</c:v>
                </c:pt>
                <c:pt idx="7">
                  <c:v>6319.8594981377237</c:v>
                </c:pt>
                <c:pt idx="8">
                  <c:v>5760.0793528672148</c:v>
                </c:pt>
                <c:pt idx="9">
                  <c:v>5240.3189799391657</c:v>
                </c:pt>
                <c:pt idx="10">
                  <c:v>5288.3826937039858</c:v>
                </c:pt>
                <c:pt idx="11">
                  <c:v>5327.9310466610796</c:v>
                </c:pt>
                <c:pt idx="12">
                  <c:v>5358.6845032397632</c:v>
                </c:pt>
                <c:pt idx="13">
                  <c:v>5380.4195722800614</c:v>
                </c:pt>
                <c:pt idx="14">
                  <c:v>5392.9721503087112</c:v>
                </c:pt>
                <c:pt idx="15">
                  <c:v>5396.2400566819788</c:v>
                </c:pt>
                <c:pt idx="16">
                  <c:v>5390.1846951813905</c:v>
                </c:pt>
                <c:pt idx="17">
                  <c:v>5374.8317973996327</c:v>
                </c:pt>
                <c:pt idx="18">
                  <c:v>5350.2712257920111</c:v>
                </c:pt>
                <c:pt idx="19">
                  <c:v>5316.655837758497</c:v>
                </c:pt>
                <c:pt idx="20">
                  <c:v>5274.1994356707928</c:v>
                </c:pt>
                <c:pt idx="21">
                  <c:v>5223.173850468218</c:v>
                </c:pt>
                <c:pt idx="22">
                  <c:v>5163.9052274557453</c:v>
                </c:pt>
                <c:pt idx="23">
                  <c:v>5096.7696014739286</c:v>
                </c:pt>
                <c:pt idx="24">
                  <c:v>5022.1878640266123</c:v>
                </c:pt>
                <c:pt idx="25">
                  <c:v>4940.6202367590877</c:v>
                </c:pt>
                <c:pt idx="26">
                  <c:v>4852.5603735659433</c:v>
                </c:pt>
                <c:pt idx="27">
                  <c:v>4758.5292174511469</c:v>
                </c:pt>
                <c:pt idx="28">
                  <c:v>4659.068738124316</c:v>
                </c:pt>
                <c:pt idx="29">
                  <c:v>4554.7356724288584</c:v>
                </c:pt>
                <c:pt idx="30">
                  <c:v>4446.0953824396038</c:v>
                </c:pt>
                <c:pt idx="31">
                  <c:v>4333.7159359368143</c:v>
                </c:pt>
                <c:pt idx="32">
                  <c:v>4218.1625015401105</c:v>
                </c:pt>
                <c:pt idx="33">
                  <c:v>4099.9921366963354</c:v>
                </c:pt>
                <c:pt idx="34">
                  <c:v>3979.7490315974578</c:v>
                </c:pt>
                <c:pt idx="35">
                  <c:v>3857.9602565747659</c:v>
                </c:pt>
                <c:pt idx="36">
                  <c:v>3735.1320451420679</c:v>
                </c:pt>
                <c:pt idx="37">
                  <c:v>3611.7466301417817</c:v>
                </c:pt>
                <c:pt idx="38">
                  <c:v>3488.2596367972792</c:v>
                </c:pt>
                <c:pt idx="39">
                  <c:v>3365.0980242137139</c:v>
                </c:pt>
                <c:pt idx="40">
                  <c:v>3242.6585562236451</c:v>
                </c:pt>
                <c:pt idx="41">
                  <c:v>3121.3067735773379</c:v>
                </c:pt>
                <c:pt idx="42">
                  <c:v>3001.3764323804562</c:v>
                </c:pt>
                <c:pt idx="43">
                  <c:v>2883.1693683602211</c:v>
                </c:pt>
                <c:pt idx="44">
                  <c:v>2766.9557429098613</c:v>
                </c:pt>
                <c:pt idx="45">
                  <c:v>2652.9746247876519</c:v>
                </c:pt>
                <c:pt idx="46">
                  <c:v>2541.4348606639974</c:v>
                </c:pt>
                <c:pt idx="47">
                  <c:v>2432.5161882292132</c:v>
                </c:pt>
                <c:pt idx="48">
                  <c:v>2326.3705470971304</c:v>
                </c:pt>
                <c:pt idx="49">
                  <c:v>2223.1235450660429</c:v>
                </c:pt>
              </c:numCache>
            </c:numRef>
          </c:yVal>
          <c:smooth val="1"/>
          <c:extLst>
            <c:ext xmlns:c16="http://schemas.microsoft.com/office/drawing/2014/chart" uri="{C3380CC4-5D6E-409C-BE32-E72D297353CC}">
              <c16:uniqueId val="{00000001-3C55-44C8-B6C5-0596A1B2F403}"/>
            </c:ext>
          </c:extLst>
        </c:ser>
        <c:ser>
          <c:idx val="2"/>
          <c:order val="1"/>
          <c:tx>
            <c:v>Merkel, novax</c:v>
          </c:tx>
          <c:spPr>
            <a:ln w="12700" cap="rnd">
              <a:solidFill>
                <a:schemeClr val="accent3"/>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reopen!$H$9:$H$58</c:f>
              <c:numCache>
                <c:formatCode>#,##0</c:formatCode>
                <c:ptCount val="50"/>
                <c:pt idx="0">
                  <c:v>0</c:v>
                </c:pt>
                <c:pt idx="1">
                  <c:v>10500</c:v>
                </c:pt>
                <c:pt idx="2">
                  <c:v>6415.151057401813</c:v>
                </c:pt>
                <c:pt idx="3">
                  <c:v>3911.6111361442408</c:v>
                </c:pt>
                <c:pt idx="4">
                  <c:v>2382.1760741651506</c:v>
                </c:pt>
                <c:pt idx="5">
                  <c:v>1449.6681177409282</c:v>
                </c:pt>
                <c:pt idx="6">
                  <c:v>881.79241931668889</c:v>
                </c:pt>
                <c:pt idx="7">
                  <c:v>536.22157960873915</c:v>
                </c:pt>
                <c:pt idx="8">
                  <c:v>326.02381052889518</c:v>
                </c:pt>
                <c:pt idx="9">
                  <c:v>198.20290888764424</c:v>
                </c:pt>
                <c:pt idx="10">
                  <c:v>133.87555044062464</c:v>
                </c:pt>
                <c:pt idx="11">
                  <c:v>90.422042035641397</c:v>
                </c:pt>
                <c:pt idx="12">
                  <c:v>61.071003447163548</c:v>
                </c:pt>
                <c:pt idx="13">
                  <c:v>41.246537432307591</c:v>
                </c:pt>
                <c:pt idx="14">
                  <c:v>27.856998929044551</c:v>
                </c:pt>
                <c:pt idx="15">
                  <c:v>18.813836714902575</c:v>
                </c:pt>
                <c:pt idx="16">
                  <c:v>12.706263427078639</c:v>
                </c:pt>
                <c:pt idx="17">
                  <c:v>8.5813696779654194</c:v>
                </c:pt>
                <c:pt idx="18">
                  <c:v>5.7955439136672737</c:v>
                </c:pt>
                <c:pt idx="19">
                  <c:v>3.9140917545701117</c:v>
                </c:pt>
                <c:pt idx="20">
                  <c:v>2.643426693750579</c:v>
                </c:pt>
                <c:pt idx="21">
                  <c:v>1.7852670144937037</c:v>
                </c:pt>
                <c:pt idx="22">
                  <c:v>1.205698852492052</c:v>
                </c:pt>
                <c:pt idx="23">
                  <c:v>0.81428109198913834</c:v>
                </c:pt>
                <c:pt idx="24">
                  <c:v>0.54993295078124138</c:v>
                </c:pt>
                <c:pt idx="25">
                  <c:v>0.37140270264294445</c:v>
                </c:pt>
                <c:pt idx="26">
                  <c:v>0.25083048995719071</c:v>
                </c:pt>
                <c:pt idx="27">
                  <c:v>0.16940083985052987</c:v>
                </c:pt>
                <c:pt idx="28">
                  <c:v>0.11440651822164151</c:v>
                </c:pt>
                <c:pt idx="29">
                  <c:v>7.7265561104893132E-2</c:v>
                </c:pt>
                <c:pt idx="30">
                  <c:v>5.2182051173400065E-2</c:v>
                </c:pt>
                <c:pt idx="31">
                  <c:v>3.5241657230354648E-2</c:v>
                </c:pt>
                <c:pt idx="32">
                  <c:v>2.3800796685990083E-2</c:v>
                </c:pt>
                <c:pt idx="33">
                  <c:v>1.6074099891590775E-2</c:v>
                </c:pt>
                <c:pt idx="34">
                  <c:v>1.0855799889102614E-2</c:v>
                </c:pt>
                <c:pt idx="35">
                  <c:v>7.3315701424304614E-3</c:v>
                </c:pt>
                <c:pt idx="36">
                  <c:v>4.9514472612868085E-3</c:v>
                </c:pt>
                <c:pt idx="37">
                  <c:v>3.3440081001754182E-3</c:v>
                </c:pt>
                <c:pt idx="38">
                  <c:v>2.258408415204085E-3</c:v>
                </c:pt>
                <c:pt idx="39">
                  <c:v>1.5252381015435055E-3</c:v>
                </c:pt>
                <c:pt idx="40">
                  <c:v>1.0300843946681475E-3</c:v>
                </c:pt>
                <c:pt idx="41">
                  <c:v>6.95677519937906E-4</c:v>
                </c:pt>
                <c:pt idx="42">
                  <c:v>4.6983258279283238E-4</c:v>
                </c:pt>
                <c:pt idx="43">
                  <c:v>3.1730600672709729E-4</c:v>
                </c:pt>
                <c:pt idx="44">
                  <c:v>2.1429569932464201E-4</c:v>
                </c:pt>
                <c:pt idx="45">
                  <c:v>1.4472668582493015E-4</c:v>
                </c:pt>
                <c:pt idx="46">
                  <c:v>9.7742575585651122E-5</c:v>
                </c:pt>
                <c:pt idx="47">
                  <c:v>6.6011399538167567E-5</c:v>
                </c:pt>
                <c:pt idx="48">
                  <c:v>4.458144102289454E-5</c:v>
                </c:pt>
                <c:pt idx="49">
                  <c:v>3.0108510008198048E-5</c:v>
                </c:pt>
              </c:numCache>
            </c:numRef>
          </c:yVal>
          <c:smooth val="1"/>
          <c:extLst>
            <c:ext xmlns:c16="http://schemas.microsoft.com/office/drawing/2014/chart" uri="{C3380CC4-5D6E-409C-BE32-E72D297353CC}">
              <c16:uniqueId val="{00000002-3C55-44C8-B6C5-0596A1B2F403}"/>
            </c:ext>
          </c:extLst>
        </c:ser>
        <c:ser>
          <c:idx val="4"/>
          <c:order val="2"/>
          <c:tx>
            <c:v>Cuomo+vax</c:v>
          </c:tx>
          <c:spPr>
            <a:ln w="19050" cap="rnd">
              <a:solidFill>
                <a:schemeClr val="accent5">
                  <a:alpha val="50000"/>
                </a:schemeClr>
              </a:solidFill>
              <a:round/>
            </a:ln>
            <a:effectLst/>
          </c:spPr>
          <c:marker>
            <c:symbol val="none"/>
          </c:marker>
          <c:xVal>
            <c:numRef>
              <c:f>reopen!$B$9:$B$58</c:f>
              <c:numCache>
                <c:formatCode>General</c:formatCode>
                <c:ptCount val="50"/>
                <c:pt idx="1">
                  <c:v>0</c:v>
                </c:pt>
                <c:pt idx="2">
                  <c:v>0.5</c:v>
                </c:pt>
                <c:pt idx="3">
                  <c:v>1</c:v>
                </c:pt>
                <c:pt idx="4">
                  <c:v>1.5</c:v>
                </c:pt>
                <c:pt idx="5">
                  <c:v>2</c:v>
                </c:pt>
                <c:pt idx="6">
                  <c:v>2.5</c:v>
                </c:pt>
                <c:pt idx="7">
                  <c:v>3</c:v>
                </c:pt>
                <c:pt idx="8">
                  <c:v>3.5</c:v>
                </c:pt>
                <c:pt idx="9">
                  <c:v>4</c:v>
                </c:pt>
                <c:pt idx="10">
                  <c:v>4.5</c:v>
                </c:pt>
                <c:pt idx="11">
                  <c:v>5</c:v>
                </c:pt>
                <c:pt idx="12">
                  <c:v>5.5</c:v>
                </c:pt>
                <c:pt idx="13">
                  <c:v>6</c:v>
                </c:pt>
                <c:pt idx="14">
                  <c:v>6.5</c:v>
                </c:pt>
                <c:pt idx="15">
                  <c:v>7</c:v>
                </c:pt>
                <c:pt idx="16">
                  <c:v>7.5</c:v>
                </c:pt>
                <c:pt idx="17">
                  <c:v>8</c:v>
                </c:pt>
                <c:pt idx="18">
                  <c:v>8.5</c:v>
                </c:pt>
                <c:pt idx="19">
                  <c:v>9</c:v>
                </c:pt>
                <c:pt idx="20">
                  <c:v>9.5</c:v>
                </c:pt>
                <c:pt idx="21">
                  <c:v>10</c:v>
                </c:pt>
                <c:pt idx="22">
                  <c:v>10.5</c:v>
                </c:pt>
                <c:pt idx="23">
                  <c:v>11</c:v>
                </c:pt>
                <c:pt idx="24">
                  <c:v>11.5</c:v>
                </c:pt>
                <c:pt idx="25">
                  <c:v>12</c:v>
                </c:pt>
                <c:pt idx="26">
                  <c:v>12.5</c:v>
                </c:pt>
                <c:pt idx="27">
                  <c:v>13</c:v>
                </c:pt>
                <c:pt idx="28">
                  <c:v>13.5</c:v>
                </c:pt>
                <c:pt idx="29">
                  <c:v>14</c:v>
                </c:pt>
                <c:pt idx="30">
                  <c:v>14.5</c:v>
                </c:pt>
                <c:pt idx="31">
                  <c:v>15</c:v>
                </c:pt>
                <c:pt idx="32">
                  <c:v>15.5</c:v>
                </c:pt>
                <c:pt idx="33">
                  <c:v>16</c:v>
                </c:pt>
                <c:pt idx="34">
                  <c:v>16.5</c:v>
                </c:pt>
                <c:pt idx="35">
                  <c:v>17</c:v>
                </c:pt>
                <c:pt idx="36">
                  <c:v>17.5</c:v>
                </c:pt>
                <c:pt idx="37">
                  <c:v>18</c:v>
                </c:pt>
                <c:pt idx="38">
                  <c:v>18.5</c:v>
                </c:pt>
                <c:pt idx="39">
                  <c:v>19</c:v>
                </c:pt>
                <c:pt idx="40">
                  <c:v>19.5</c:v>
                </c:pt>
                <c:pt idx="41">
                  <c:v>20</c:v>
                </c:pt>
                <c:pt idx="42">
                  <c:v>20.5</c:v>
                </c:pt>
                <c:pt idx="43">
                  <c:v>21</c:v>
                </c:pt>
                <c:pt idx="44">
                  <c:v>21.5</c:v>
                </c:pt>
                <c:pt idx="45">
                  <c:v>22</c:v>
                </c:pt>
                <c:pt idx="46">
                  <c:v>22.5</c:v>
                </c:pt>
                <c:pt idx="47">
                  <c:v>23</c:v>
                </c:pt>
                <c:pt idx="48">
                  <c:v>23.5</c:v>
                </c:pt>
                <c:pt idx="49">
                  <c:v>24</c:v>
                </c:pt>
              </c:numCache>
            </c:numRef>
          </c:xVal>
          <c:yVal>
            <c:numRef>
              <c:f>reopen!$L$9:$L$58</c:f>
              <c:numCache>
                <c:formatCode>#,##0</c:formatCode>
                <c:ptCount val="50"/>
                <c:pt idx="0">
                  <c:v>0</c:v>
                </c:pt>
                <c:pt idx="1">
                  <c:v>10500</c:v>
                </c:pt>
                <c:pt idx="2">
                  <c:v>9714.3716012084606</c:v>
                </c:pt>
                <c:pt idx="3">
                  <c:v>8960.3264919505291</c:v>
                </c:pt>
                <c:pt idx="4">
                  <c:v>8241.6713236679552</c:v>
                </c:pt>
                <c:pt idx="5">
                  <c:v>7561.0780487551556</c:v>
                </c:pt>
                <c:pt idx="6">
                  <c:v>6920.2104735623452</c:v>
                </c:pt>
                <c:pt idx="7">
                  <c:v>6319.8594981377237</c:v>
                </c:pt>
                <c:pt idx="8">
                  <c:v>5760.0793528672148</c:v>
                </c:pt>
                <c:pt idx="9">
                  <c:v>5240.3189799391657</c:v>
                </c:pt>
                <c:pt idx="10">
                  <c:v>5288.3826937039858</c:v>
                </c:pt>
                <c:pt idx="11">
                  <c:v>5327.9310466610796</c:v>
                </c:pt>
                <c:pt idx="12">
                  <c:v>5358.6845032397632</c:v>
                </c:pt>
                <c:pt idx="13">
                  <c:v>5380.4195722800614</c:v>
                </c:pt>
                <c:pt idx="14">
                  <c:v>5392.9721503087112</c:v>
                </c:pt>
                <c:pt idx="15">
                  <c:v>5396.2400566819788</c:v>
                </c:pt>
                <c:pt idx="16">
                  <c:v>5390.1846951813905</c:v>
                </c:pt>
                <c:pt idx="17">
                  <c:v>5374.8317973996327</c:v>
                </c:pt>
                <c:pt idx="18">
                  <c:v>5350.2712257920111</c:v>
                </c:pt>
                <c:pt idx="19">
                  <c:v>2653.7443952658177</c:v>
                </c:pt>
                <c:pt idx="20">
                  <c:v>1314.0068571757113</c:v>
                </c:pt>
                <c:pt idx="21">
                  <c:v>650.08019567466829</c:v>
                </c:pt>
                <c:pt idx="22">
                  <c:v>321.47962297304809</c:v>
                </c:pt>
                <c:pt idx="23">
                  <c:v>158.94597799052082</c:v>
                </c:pt>
                <c:pt idx="24">
                  <c:v>78.577991181228697</c:v>
                </c:pt>
                <c:pt idx="25">
                  <c:v>38.844558931774444</c:v>
                </c:pt>
                <c:pt idx="26">
                  <c:v>19.202091655000455</c:v>
                </c:pt>
                <c:pt idx="27">
                  <c:v>9.4920819624665924</c:v>
                </c:pt>
                <c:pt idx="28">
                  <c:v>4.6921485195701536</c:v>
                </c:pt>
                <c:pt idx="29">
                  <c:v>2.3194269595029069</c:v>
                </c:pt>
                <c:pt idx="30">
                  <c:v>1.1465394401552704</c:v>
                </c:pt>
                <c:pt idx="31">
                  <c:v>0.56675710611448149</c:v>
                </c:pt>
                <c:pt idx="32">
                  <c:v>0.28015913639032258</c:v>
                </c:pt>
                <c:pt idx="33">
                  <c:v>0.13848812235518107</c:v>
                </c:pt>
                <c:pt idx="34">
                  <c:v>6.8457372334390032E-2</c:v>
                </c:pt>
                <c:pt idx="35">
                  <c:v>3.3839809070912448E-2</c:v>
                </c:pt>
                <c:pt idx="36">
                  <c:v>1.6727674665302752E-2</c:v>
                </c:pt>
                <c:pt idx="37">
                  <c:v>8.2688142858464847E-3</c:v>
                </c:pt>
                <c:pt idx="38">
                  <c:v>4.0874353845112062E-3</c:v>
                </c:pt>
                <c:pt idx="39">
                  <c:v>2.0204986350837073E-3</c:v>
                </c:pt>
                <c:pt idx="40">
                  <c:v>9.9877168566410738E-4</c:v>
                </c:pt>
                <c:pt idx="41">
                  <c:v>4.9371222633740411E-4</c:v>
                </c:pt>
                <c:pt idx="42">
                  <c:v>2.4405153435541784E-4</c:v>
                </c:pt>
                <c:pt idx="43">
                  <c:v>1.2063940942615508E-4</c:v>
                </c:pt>
                <c:pt idx="44">
                  <c:v>5.9634401168561734E-5</c:v>
                </c:pt>
                <c:pt idx="45">
                  <c:v>2.9478441742309742E-5</c:v>
                </c:pt>
                <c:pt idx="46">
                  <c:v>1.4571765801452623E-5</c:v>
                </c:pt>
                <c:pt idx="47">
                  <c:v>7.2031066101305521E-6</c:v>
                </c:pt>
                <c:pt idx="48">
                  <c:v>3.5606353782801037E-6</c:v>
                </c:pt>
                <c:pt idx="49">
                  <c:v>1.760091163887531E-6</c:v>
                </c:pt>
              </c:numCache>
            </c:numRef>
          </c:yVal>
          <c:smooth val="1"/>
          <c:extLst>
            <c:ext xmlns:c16="http://schemas.microsoft.com/office/drawing/2014/chart" uri="{C3380CC4-5D6E-409C-BE32-E72D297353CC}">
              <c16:uniqueId val="{00000004-3C55-44C8-B6C5-0596A1B2F403}"/>
            </c:ext>
          </c:extLst>
        </c:ser>
        <c:dLbls>
          <c:showLegendKey val="0"/>
          <c:showVal val="0"/>
          <c:showCatName val="0"/>
          <c:showSerName val="0"/>
          <c:showPercent val="0"/>
          <c:showBubbleSize val="0"/>
        </c:dLbls>
        <c:axId val="289697936"/>
        <c:axId val="289695856"/>
      </c:scatterChart>
      <c:valAx>
        <c:axId val="289697936"/>
        <c:scaling>
          <c:orientation val="minMax"/>
          <c:max val="24"/>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Months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695856"/>
        <c:crosses val="autoZero"/>
        <c:crossBetween val="midCat"/>
        <c:majorUnit val="4"/>
      </c:valAx>
      <c:valAx>
        <c:axId val="289695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89697936"/>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6</xdr:col>
      <xdr:colOff>487680</xdr:colOff>
      <xdr:row>55</xdr:row>
      <xdr:rowOff>30480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132080</xdr:rowOff>
    </xdr:from>
    <xdr:to>
      <xdr:col>6</xdr:col>
      <xdr:colOff>487680</xdr:colOff>
      <xdr:row>33</xdr:row>
      <xdr:rowOff>20320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487680</xdr:colOff>
      <xdr:row>37</xdr:row>
      <xdr:rowOff>10160</xdr:rowOff>
    </xdr:from>
    <xdr:to>
      <xdr:col>12</xdr:col>
      <xdr:colOff>386080</xdr:colOff>
      <xdr:row>55</xdr:row>
      <xdr:rowOff>50800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477520</xdr:colOff>
      <xdr:row>15</xdr:row>
      <xdr:rowOff>0</xdr:rowOff>
    </xdr:from>
    <xdr:to>
      <xdr:col>12</xdr:col>
      <xdr:colOff>375920</xdr:colOff>
      <xdr:row>33</xdr:row>
      <xdr:rowOff>30480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columbia.edu/~jls106/yamana_etal_reopening_projections.pdf" TargetMode="External"/><Relationship Id="rId2" Type="http://schemas.openxmlformats.org/officeDocument/2006/relationships/hyperlink" Target="https://docs.google.com/spreadsheets/d/1rX0tGLlS_0_HtSjVEmNzUOgwqxxLkflYcHGSClALrRM/copy" TargetMode="External"/><Relationship Id="rId1" Type="http://schemas.openxmlformats.org/officeDocument/2006/relationships/hyperlink" Target="http://biomath.net/virus/simple-covid19-reopening-model.xls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tabSelected="1" zoomScale="75" zoomScaleNormal="75" workbookViewId="0"/>
  </sheetViews>
  <sheetFormatPr defaultRowHeight="14.4" x14ac:dyDescent="0.3"/>
  <cols>
    <col min="1" max="2" width="8.6640625" customWidth="1"/>
    <col min="3" max="3" width="12.21875" bestFit="1" customWidth="1"/>
    <col min="4" max="4" width="9.44140625" bestFit="1" customWidth="1"/>
    <col min="5" max="5" width="12" customWidth="1"/>
    <col min="6" max="6" width="9.109375" bestFit="1" customWidth="1"/>
    <col min="7" max="7" width="11.5546875" customWidth="1"/>
    <col min="8" max="8" width="9.109375" bestFit="1" customWidth="1"/>
    <col min="9" max="9" width="11.33203125" customWidth="1"/>
    <col min="10" max="10" width="11.5546875" customWidth="1"/>
    <col min="11" max="11" width="11.44140625" customWidth="1"/>
    <col min="12" max="12" width="10.33203125" customWidth="1"/>
    <col min="13" max="13" width="9.6640625" customWidth="1"/>
    <col min="16" max="16" width="0" hidden="1" customWidth="1"/>
  </cols>
  <sheetData>
    <row r="1" spans="1:16" ht="48" customHeight="1" x14ac:dyDescent="0.35">
      <c r="A1" s="16" t="s">
        <v>42</v>
      </c>
      <c r="B1" s="16" t="s">
        <v>39</v>
      </c>
      <c r="C1" s="16" t="s">
        <v>16</v>
      </c>
      <c r="D1" s="16" t="s">
        <v>17</v>
      </c>
      <c r="E1" s="16" t="s">
        <v>111</v>
      </c>
      <c r="F1" s="16" t="s">
        <v>112</v>
      </c>
      <c r="G1" s="6" t="s">
        <v>40</v>
      </c>
      <c r="H1" s="6" t="s">
        <v>41</v>
      </c>
      <c r="I1" s="6" t="s">
        <v>44</v>
      </c>
      <c r="J1" s="6" t="s">
        <v>40</v>
      </c>
      <c r="K1" s="35" t="s">
        <v>32</v>
      </c>
      <c r="L1" s="35"/>
      <c r="M1" s="28"/>
    </row>
    <row r="2" spans="1:16" ht="14.4" customHeight="1" x14ac:dyDescent="0.3">
      <c r="A2" s="1" t="s">
        <v>43</v>
      </c>
      <c r="B2" s="23" t="str">
        <f>INDEX(stats!A2:A54,IF(ISNA(MATCH(A2,stats!A2:A54,0)),1,MATCH(A2,stats!A2:A54,0)))</f>
        <v>US</v>
      </c>
      <c r="C2" s="2">
        <v>0.01</v>
      </c>
      <c r="D2" s="2">
        <v>0.5</v>
      </c>
      <c r="E2" s="2">
        <v>0.9</v>
      </c>
      <c r="F2" s="2">
        <v>8</v>
      </c>
      <c r="G2" s="24">
        <f>INDEX(stats!B2:B54,MATCH($B2,stats!$A2:$A54,0))</f>
        <v>331000000</v>
      </c>
      <c r="H2" s="24">
        <f>INDEX(stats!C2:C54,MATCH($B2,stats!$A2:$A54,0))</f>
        <v>100000</v>
      </c>
      <c r="I2" s="24">
        <f>15*INDEX(stats!D2:D54,MATCH($B2,stats!$A2:$A54,0))</f>
        <v>10500</v>
      </c>
      <c r="J2" s="26">
        <f>INDEX(stats!B2:B54,MATCH($B2,stats!$A2:$A54,0))</f>
        <v>331000000</v>
      </c>
      <c r="K2" s="34" t="s">
        <v>22</v>
      </c>
      <c r="L2" s="34"/>
      <c r="P2" t="str">
        <f>$B$2&amp;": New Deaths per 15-day cycle"</f>
        <v>US: New Deaths per 15-day cycle</v>
      </c>
    </row>
    <row r="3" spans="1:16" x14ac:dyDescent="0.3">
      <c r="A3" s="5">
        <f>I2/C2</f>
        <v>1050000</v>
      </c>
      <c r="B3" s="12">
        <f xml:space="preserve"> (H2/C2)/J2</f>
        <v>3.0211480362537766E-2</v>
      </c>
      <c r="C3" s="5" t="s">
        <v>110</v>
      </c>
      <c r="D3" s="5"/>
      <c r="E3" s="5"/>
      <c r="F3" s="5"/>
      <c r="G3" s="12"/>
      <c r="H3" s="12"/>
      <c r="I3" s="12"/>
      <c r="J3" s="12"/>
      <c r="K3" s="34"/>
      <c r="L3" s="34"/>
      <c r="M3" s="12"/>
      <c r="P3" t="str">
        <f>$B$2&amp;": New Deaths (w/o Trump) per 15-day cycle"</f>
        <v>US: New Deaths (w/o Trump) per 15-day cycle</v>
      </c>
    </row>
    <row r="4" spans="1:16" x14ac:dyDescent="0.3">
      <c r="C4" s="36" t="s">
        <v>0</v>
      </c>
      <c r="D4" s="36"/>
      <c r="E4" s="36" t="s">
        <v>1</v>
      </c>
      <c r="F4" s="36"/>
      <c r="G4" s="36" t="s">
        <v>26</v>
      </c>
      <c r="H4" s="36"/>
      <c r="I4" s="36" t="s">
        <v>8</v>
      </c>
      <c r="J4" s="36"/>
      <c r="K4" s="36" t="s">
        <v>2</v>
      </c>
      <c r="L4" s="36"/>
      <c r="P4" t="str">
        <f>$B$2&amp;": New Infections per 15-day cycle"</f>
        <v>US: New Infections per 15-day cycle</v>
      </c>
    </row>
    <row r="5" spans="1:16" x14ac:dyDescent="0.3">
      <c r="A5" s="15" t="s">
        <v>142</v>
      </c>
      <c r="C5" s="2">
        <v>1.2</v>
      </c>
      <c r="D5" s="22"/>
      <c r="E5" s="2">
        <v>1.06</v>
      </c>
      <c r="G5" s="2">
        <v>0.7</v>
      </c>
      <c r="I5" s="11">
        <f>C5</f>
        <v>1.2</v>
      </c>
      <c r="J5">
        <f>10+2*MIN(20,MAX(0,I6))</f>
        <v>26</v>
      </c>
      <c r="K5" s="11">
        <f>E5</f>
        <v>1.06</v>
      </c>
      <c r="L5">
        <f>10+2*MIN(20,MAX(0,K6))</f>
        <v>26</v>
      </c>
      <c r="P5" t="str">
        <f>$B$2&amp;": New Infections (w/o Trump) / 15 days"</f>
        <v>US: New Infections (w/o Trump) / 15 days</v>
      </c>
    </row>
    <row r="6" spans="1:16" x14ac:dyDescent="0.3">
      <c r="A6" s="19" t="s">
        <v>38</v>
      </c>
      <c r="B6" s="19"/>
      <c r="C6" s="7"/>
      <c r="D6" s="20" t="s">
        <v>9</v>
      </c>
      <c r="E6" s="7" t="s">
        <v>9</v>
      </c>
      <c r="F6" s="7" t="s">
        <v>9</v>
      </c>
      <c r="G6" s="7" t="s">
        <v>9</v>
      </c>
      <c r="H6" s="7" t="s">
        <v>9</v>
      </c>
      <c r="I6" s="2">
        <v>8</v>
      </c>
      <c r="J6" s="27">
        <v>1</v>
      </c>
      <c r="K6" s="2">
        <v>8</v>
      </c>
      <c r="L6" s="2">
        <v>1</v>
      </c>
    </row>
    <row r="7" spans="1:16" x14ac:dyDescent="0.3">
      <c r="A7" s="15" t="s">
        <v>3</v>
      </c>
      <c r="C7" s="3">
        <f>SUM(C10:C58)</f>
        <v>87814430.441202924</v>
      </c>
      <c r="D7" s="3">
        <f t="shared" ref="D7:L7" si="0">SUM(D10:D58)</f>
        <v>887263.36624524987</v>
      </c>
      <c r="E7" s="3">
        <f t="shared" si="0"/>
        <v>23029091.382713269</v>
      </c>
      <c r="F7" s="3">
        <f t="shared" si="0"/>
        <v>238668.03778689576</v>
      </c>
      <c r="G7" s="3">
        <f t="shared" si="0"/>
        <v>1651327.2950060135</v>
      </c>
      <c r="H7" s="3">
        <f t="shared" si="0"/>
        <v>27013.272929726056</v>
      </c>
      <c r="I7" s="3">
        <f t="shared" ca="1" si="0"/>
        <v>34614072.910682656</v>
      </c>
      <c r="J7" s="3">
        <f t="shared" ca="1" si="0"/>
        <v>356640.72909451282</v>
      </c>
      <c r="K7" s="3">
        <f t="shared" ca="1" si="0"/>
        <v>11223148.617928926</v>
      </c>
      <c r="L7" s="3">
        <f t="shared" ca="1" si="0"/>
        <v>122731.48617841919</v>
      </c>
    </row>
    <row r="8" spans="1:16" s="8" customFormat="1" ht="12" customHeight="1" x14ac:dyDescent="0.3">
      <c r="A8" s="8" t="s">
        <v>4</v>
      </c>
      <c r="B8" s="8" t="s">
        <v>5</v>
      </c>
      <c r="C8" s="9" t="s">
        <v>14</v>
      </c>
      <c r="D8" s="10" t="s">
        <v>15</v>
      </c>
      <c r="E8" s="9" t="s">
        <v>14</v>
      </c>
      <c r="F8" s="10" t="s">
        <v>15</v>
      </c>
      <c r="G8" s="9" t="s">
        <v>14</v>
      </c>
      <c r="H8" s="10" t="s">
        <v>15</v>
      </c>
      <c r="I8" s="9" t="s">
        <v>14</v>
      </c>
      <c r="J8" s="10" t="s">
        <v>15</v>
      </c>
      <c r="K8" s="9" t="s">
        <v>14</v>
      </c>
      <c r="L8" s="10" t="s">
        <v>15</v>
      </c>
    </row>
    <row r="9" spans="1:16" s="17" customFormat="1" ht="12" customHeight="1" x14ac:dyDescent="0.3">
      <c r="C9" s="18" t="s">
        <v>33</v>
      </c>
      <c r="D9" s="18" t="s">
        <v>33</v>
      </c>
      <c r="E9" s="18" t="s">
        <v>34</v>
      </c>
      <c r="F9" s="18" t="s">
        <v>34</v>
      </c>
      <c r="G9" s="18" t="s">
        <v>35</v>
      </c>
      <c r="H9" s="18" t="s">
        <v>35</v>
      </c>
      <c r="I9" s="18" t="s">
        <v>36</v>
      </c>
      <c r="J9" s="18" t="s">
        <v>36</v>
      </c>
      <c r="K9" s="18" t="s">
        <v>37</v>
      </c>
      <c r="L9" s="18" t="s">
        <v>37</v>
      </c>
    </row>
    <row r="10" spans="1:16" ht="10.95" customHeight="1" x14ac:dyDescent="0.3">
      <c r="A10" s="13">
        <v>0</v>
      </c>
      <c r="B10" s="13">
        <f>0.5*A10</f>
        <v>0</v>
      </c>
      <c r="C10" s="14">
        <f>$A3*C$5*$E$2*(1-$B$3)</f>
        <v>1099740.1812688822</v>
      </c>
      <c r="D10" s="14">
        <f>$C$2*$A3</f>
        <v>10500</v>
      </c>
      <c r="E10" s="14">
        <f>$A3*E$5*$E$2*(1-$B$3)</f>
        <v>971437.16012084601</v>
      </c>
      <c r="F10" s="14">
        <f>$C$2*$A3</f>
        <v>10500</v>
      </c>
      <c r="G10" s="14">
        <f>$A3*G$5*$E$2*(1-$B$3)</f>
        <v>641515.10574018129</v>
      </c>
      <c r="H10" s="14">
        <f>$C$2*$A3</f>
        <v>10500</v>
      </c>
      <c r="I10" s="14">
        <f>$A3*I$5*$E$2*(1-$B$3)</f>
        <v>1099740.1812688822</v>
      </c>
      <c r="J10" s="14">
        <f>$C$2*$A3</f>
        <v>10500</v>
      </c>
      <c r="K10" s="14">
        <f>$A3*K$5*$E$2*(1-$B$3)</f>
        <v>971437.16012084601</v>
      </c>
      <c r="L10" s="14">
        <f>$C$2*$A3</f>
        <v>10500</v>
      </c>
    </row>
    <row r="11" spans="1:16" ht="10.95" customHeight="1" x14ac:dyDescent="0.3">
      <c r="A11" s="13">
        <f>A10+1</f>
        <v>1</v>
      </c>
      <c r="B11" s="13">
        <f>0.5*A11</f>
        <v>0.5</v>
      </c>
      <c r="C11" s="14">
        <f>C10*C$5*(IF(ROW()&gt;9+$F$2,1,$E$2))*(1-$B$3-SUM(C$10:C10)/$J$2)</f>
        <v>1147890.4631380513</v>
      </c>
      <c r="D11" s="14">
        <f t="shared" ref="D11:D58" si="1">$C$2*C10</f>
        <v>10997.401812688822</v>
      </c>
      <c r="E11" s="14">
        <f>E10*E$5*(IF(ROW()&gt;9+$F$2,1,$E$2))*(1-$B$3-SUM(E$10:E10)/$J$2)</f>
        <v>896032.6491950528</v>
      </c>
      <c r="F11" s="14">
        <f t="shared" ref="F11:F58" si="2">$C$2*E10</f>
        <v>9714.3716012084606</v>
      </c>
      <c r="G11" s="14">
        <f>G10*G$5*(IF(ROW()&gt;9+$F$2,1,$E$2))*(1-$B$3-SUM(G$10:G10)/$J$2)</f>
        <v>391161.11361442407</v>
      </c>
      <c r="H11" s="14">
        <f t="shared" ref="H11:H58" si="3">$C$2*G10</f>
        <v>6415.151057401813</v>
      </c>
      <c r="I11" s="14">
        <f ca="1">I10*I$5*(IF(ROW()&gt;9+$F$2,1,$E$2))*IF(ROW()&lt;=J$5, 1-$B$3-SUM(I$10:I10)/$J$2, (1-$B$3-SUM(I$10:INDIRECT("I"&amp;(J$5-1)))/$J$2)*(1-J$6*$D$2)-SUM(INDIRECT("I"&amp;J$5):I10)/$J$2)</f>
        <v>1147890.4631380513</v>
      </c>
      <c r="J11" s="14">
        <f t="shared" ref="J11:J58" si="4">$C$2*I10</f>
        <v>10997.401812688822</v>
      </c>
      <c r="K11" s="14">
        <f ca="1">K10*K$5*(IF(ROW()&gt;9+$F$2,1,$E$2))*IF(ROW()&lt;=L$5, 1-$B$3-SUM(K$10:K10)/$J$2, (1-$B$3-SUM(K$10:INDIRECT("k"&amp;(L$5-1)))/$J$2)*(1-L$6*$D$2)-SUM(INDIRECT("k"&amp;L$5):K10)/$J$2)</f>
        <v>896032.6491950528</v>
      </c>
      <c r="L11" s="14">
        <f t="shared" ref="L11:L58" si="5">$C$2*K10</f>
        <v>9714.3716012084606</v>
      </c>
    </row>
    <row r="12" spans="1:16" ht="10.95" customHeight="1" x14ac:dyDescent="0.3">
      <c r="A12" s="13">
        <f t="shared" ref="A12:A58" si="6">A11+1</f>
        <v>2</v>
      </c>
      <c r="B12" s="13">
        <f t="shared" ref="B12:B58" si="7">0.5*A12</f>
        <v>1</v>
      </c>
      <c r="C12" s="14">
        <f>C11*C$5*(IF(ROW()&gt;9+$F$2,1,$E$2))*(1-$B$3-SUM(C$10:C11)/$J$2)</f>
        <v>1193849.6352773968</v>
      </c>
      <c r="D12" s="14">
        <f t="shared" si="1"/>
        <v>11478.904631380514</v>
      </c>
      <c r="E12" s="14">
        <f>E11*E$5*(IF(ROW()&gt;9+$F$2,1,$E$2))*(1-$B$3-SUM(E$10:E11)/$J$2)</f>
        <v>824167.13236679544</v>
      </c>
      <c r="F12" s="14">
        <f t="shared" si="2"/>
        <v>8960.3264919505291</v>
      </c>
      <c r="G12" s="14">
        <f>G11*G$5*(IF(ROW()&gt;9+$F$2,1,$E$2))*(1-$B$3-SUM(G$10:G11)/$J$2)</f>
        <v>238217.60741651506</v>
      </c>
      <c r="H12" s="14">
        <f t="shared" si="3"/>
        <v>3911.6111361442408</v>
      </c>
      <c r="I12" s="14">
        <f ca="1">I11*I$5*(IF(ROW()&gt;9+$F$2,1,$E$2))*IF(ROW()&lt;=J$5, 1-$B$3-SUM(I$10:I11)/$J$2, (1-$B$3-SUM(I$10:INDIRECT("I"&amp;(J$5-1)))/$J$2)*(1-J$6*$D$2)-SUM(INDIRECT("I"&amp;J$5):I11)/$J$2)</f>
        <v>1193849.6352773968</v>
      </c>
      <c r="J12" s="14">
        <f t="shared" ca="1" si="4"/>
        <v>11478.904631380514</v>
      </c>
      <c r="K12" s="14">
        <f ca="1">K11*K$5*(IF(ROW()&gt;9+$F$2,1,$E$2))*IF(ROW()&lt;=L$5, 1-$B$3-SUM(K$10:K11)/$J$2, (1-$B$3-SUM(K$10:INDIRECT("k"&amp;(L$5-1)))/$J$2)*(1-L$6*$D$2)-SUM(INDIRECT("k"&amp;L$5):K11)/$J$2)</f>
        <v>824167.13236679544</v>
      </c>
      <c r="L12" s="14">
        <f t="shared" ca="1" si="5"/>
        <v>8960.3264919505291</v>
      </c>
    </row>
    <row r="13" spans="1:16" ht="10.95" customHeight="1" x14ac:dyDescent="0.3">
      <c r="A13" s="13">
        <f t="shared" si="6"/>
        <v>3</v>
      </c>
      <c r="B13" s="13">
        <f t="shared" si="7"/>
        <v>1.5</v>
      </c>
      <c r="C13" s="14">
        <f>C12*C$5*(IF(ROW()&gt;9+$F$2,1,$E$2))*(1-$B$3-SUM(C$10:C12)/$J$2)</f>
        <v>1236998.4676227046</v>
      </c>
      <c r="D13" s="14">
        <f t="shared" si="1"/>
        <v>11938.496352773967</v>
      </c>
      <c r="E13" s="14">
        <f>E12*E$5*(IF(ROW()&gt;9+$F$2,1,$E$2))*(1-$B$3-SUM(E$10:E12)/$J$2)</f>
        <v>756107.80487551552</v>
      </c>
      <c r="F13" s="14">
        <f t="shared" si="2"/>
        <v>8241.6713236679552</v>
      </c>
      <c r="G13" s="14">
        <f>G12*G$5*(IF(ROW()&gt;9+$F$2,1,$E$2))*(1-$B$3-SUM(G$10:G12)/$J$2)</f>
        <v>144966.81177409281</v>
      </c>
      <c r="H13" s="14">
        <f t="shared" si="3"/>
        <v>2382.1760741651506</v>
      </c>
      <c r="I13" s="14">
        <f ca="1">I12*I$5*(IF(ROW()&gt;9+$F$2,1,$E$2))*IF(ROW()&lt;=J$5, 1-$B$3-SUM(I$10:I12)/$J$2, (1-$B$3-SUM(I$10:INDIRECT("I"&amp;(J$5-1)))/$J$2)*(1-J$6*$D$2)-SUM(INDIRECT("I"&amp;J$5):I12)/$J$2)</f>
        <v>1236998.4676227046</v>
      </c>
      <c r="J13" s="14">
        <f t="shared" ca="1" si="4"/>
        <v>11938.496352773967</v>
      </c>
      <c r="K13" s="14">
        <f ca="1">K12*K$5*(IF(ROW()&gt;9+$F$2,1,$E$2))*IF(ROW()&lt;=L$5, 1-$B$3-SUM(K$10:K12)/$J$2, (1-$B$3-SUM(K$10:INDIRECT("k"&amp;(L$5-1)))/$J$2)*(1-L$6*$D$2)-SUM(INDIRECT("k"&amp;L$5):K12)/$J$2)</f>
        <v>756107.80487551552</v>
      </c>
      <c r="L13" s="14">
        <f t="shared" ca="1" si="5"/>
        <v>8241.6713236679552</v>
      </c>
    </row>
    <row r="14" spans="1:16" ht="10.95" customHeight="1" x14ac:dyDescent="0.3">
      <c r="A14" s="13">
        <f t="shared" si="6"/>
        <v>4</v>
      </c>
      <c r="B14" s="13">
        <f t="shared" si="7"/>
        <v>2</v>
      </c>
      <c r="C14" s="14">
        <f>C13*C$5*(IF(ROW()&gt;9+$F$2,1,$E$2))*(1-$B$3-SUM(C$10:C13)/$J$2)</f>
        <v>1276714.1269816225</v>
      </c>
      <c r="D14" s="14">
        <f t="shared" si="1"/>
        <v>12369.984676227046</v>
      </c>
      <c r="E14" s="14">
        <f>E13*E$5*(IF(ROW()&gt;9+$F$2,1,$E$2))*(1-$B$3-SUM(E$10:E13)/$J$2)</f>
        <v>692021.04735623451</v>
      </c>
      <c r="F14" s="14">
        <f t="shared" si="2"/>
        <v>7561.0780487551556</v>
      </c>
      <c r="G14" s="14">
        <f>G13*G$5*(IF(ROW()&gt;9+$F$2,1,$E$2))*(1-$B$3-SUM(G$10:G13)/$J$2)</f>
        <v>88179.24193166889</v>
      </c>
      <c r="H14" s="14">
        <f t="shared" si="3"/>
        <v>1449.6681177409282</v>
      </c>
      <c r="I14" s="14">
        <f ca="1">I13*I$5*(IF(ROW()&gt;9+$F$2,1,$E$2))*IF(ROW()&lt;=J$5, 1-$B$3-SUM(I$10:I13)/$J$2, (1-$B$3-SUM(I$10:INDIRECT("I"&amp;(J$5-1)))/$J$2)*(1-J$6*$D$2)-SUM(INDIRECT("I"&amp;J$5):I13)/$J$2)</f>
        <v>1276714.1269816225</v>
      </c>
      <c r="J14" s="14">
        <f t="shared" ca="1" si="4"/>
        <v>12369.984676227046</v>
      </c>
      <c r="K14" s="14">
        <f ca="1">K13*K$5*(IF(ROW()&gt;9+$F$2,1,$E$2))*IF(ROW()&lt;=L$5, 1-$B$3-SUM(K$10:K13)/$J$2, (1-$B$3-SUM(K$10:INDIRECT("k"&amp;(L$5-1)))/$J$2)*(1-L$6*$D$2)-SUM(INDIRECT("k"&amp;L$5):K13)/$J$2)</f>
        <v>692021.04735623451</v>
      </c>
      <c r="L14" s="14">
        <f t="shared" ca="1" si="5"/>
        <v>7561.0780487551556</v>
      </c>
    </row>
    <row r="15" spans="1:16" ht="10.95" customHeight="1" x14ac:dyDescent="0.3">
      <c r="A15" s="13">
        <f t="shared" si="6"/>
        <v>5</v>
      </c>
      <c r="B15" s="13">
        <f t="shared" si="7"/>
        <v>2.5</v>
      </c>
      <c r="C15" s="14">
        <f>C14*C$5*(IF(ROW()&gt;9+$F$2,1,$E$2))*(1-$B$3-SUM(C$10:C14)/$J$2)</f>
        <v>1312386.4905159031</v>
      </c>
      <c r="D15" s="14">
        <f t="shared" si="1"/>
        <v>12767.141269816226</v>
      </c>
      <c r="E15" s="14">
        <f>E14*E$5*(IF(ROW()&gt;9+$F$2,1,$E$2))*(1-$B$3-SUM(E$10:E14)/$J$2)</f>
        <v>631985.94981377234</v>
      </c>
      <c r="F15" s="14">
        <f t="shared" si="2"/>
        <v>6920.2104735623452</v>
      </c>
      <c r="G15" s="14">
        <f>G14*G$5*(IF(ROW()&gt;9+$F$2,1,$E$2))*(1-$B$3-SUM(G$10:G14)/$J$2)</f>
        <v>53622.157960873919</v>
      </c>
      <c r="H15" s="14">
        <f t="shared" si="3"/>
        <v>881.79241931668889</v>
      </c>
      <c r="I15" s="14">
        <f ca="1">I14*I$5*(IF(ROW()&gt;9+$F$2,1,$E$2))*IF(ROW()&lt;=J$5, 1-$B$3-SUM(I$10:I14)/$J$2, (1-$B$3-SUM(I$10:INDIRECT("I"&amp;(J$5-1)))/$J$2)*(1-J$6*$D$2)-SUM(INDIRECT("I"&amp;J$5):I14)/$J$2)</f>
        <v>1312386.4905159031</v>
      </c>
      <c r="J15" s="14">
        <f t="shared" ca="1" si="4"/>
        <v>12767.141269816226</v>
      </c>
      <c r="K15" s="14">
        <f ca="1">K14*K$5*(IF(ROW()&gt;9+$F$2,1,$E$2))*IF(ROW()&lt;=L$5, 1-$B$3-SUM(K$10:K14)/$J$2, (1-$B$3-SUM(K$10:INDIRECT("k"&amp;(L$5-1)))/$J$2)*(1-L$6*$D$2)-SUM(INDIRECT("k"&amp;L$5):K14)/$J$2)</f>
        <v>631985.94981377234</v>
      </c>
      <c r="L15" s="14">
        <f t="shared" ca="1" si="5"/>
        <v>6920.2104735623452</v>
      </c>
    </row>
    <row r="16" spans="1:16" ht="10.95" customHeight="1" x14ac:dyDescent="0.3">
      <c r="A16" s="13">
        <f t="shared" si="6"/>
        <v>6</v>
      </c>
      <c r="B16" s="13">
        <f t="shared" si="7"/>
        <v>3</v>
      </c>
      <c r="C16" s="14">
        <f>C15*C$5*(IF(ROW()&gt;9+$F$2,1,$E$2))*(1-$B$3-SUM(C$10:C15)/$J$2)</f>
        <v>1343435.7876639331</v>
      </c>
      <c r="D16" s="14">
        <f t="shared" si="1"/>
        <v>13123.864905159031</v>
      </c>
      <c r="E16" s="14">
        <f>E15*E$5*(IF(ROW()&gt;9+$F$2,1,$E$2))*(1-$B$3-SUM(E$10:E15)/$J$2)</f>
        <v>576007.93528672145</v>
      </c>
      <c r="F16" s="14">
        <f t="shared" si="2"/>
        <v>6319.8594981377237</v>
      </c>
      <c r="G16" s="14">
        <f>G15*G$5*(IF(ROW()&gt;9+$F$2,1,$E$2))*(1-$B$3-SUM(G$10:G15)/$J$2)</f>
        <v>32602.381052889516</v>
      </c>
      <c r="H16" s="14">
        <f t="shared" si="3"/>
        <v>536.22157960873915</v>
      </c>
      <c r="I16" s="14">
        <f ca="1">I15*I$5*(IF(ROW()&gt;9+$F$2,1,$E$2))*IF(ROW()&lt;=J$5, 1-$B$3-SUM(I$10:I15)/$J$2, (1-$B$3-SUM(I$10:INDIRECT("I"&amp;(J$5-1)))/$J$2)*(1-J$6*$D$2)-SUM(INDIRECT("I"&amp;J$5):I15)/$J$2)</f>
        <v>1343435.7876639331</v>
      </c>
      <c r="J16" s="14">
        <f t="shared" ca="1" si="4"/>
        <v>13123.864905159031</v>
      </c>
      <c r="K16" s="14">
        <f ca="1">K15*K$5*(IF(ROW()&gt;9+$F$2,1,$E$2))*IF(ROW()&lt;=L$5, 1-$B$3-SUM(K$10:K15)/$J$2, (1-$B$3-SUM(K$10:INDIRECT("k"&amp;(L$5-1)))/$J$2)*(1-L$6*$D$2)-SUM(INDIRECT("k"&amp;L$5):K15)/$J$2)</f>
        <v>576007.93528672145</v>
      </c>
      <c r="L16" s="14">
        <f t="shared" ca="1" si="5"/>
        <v>6319.8594981377237</v>
      </c>
    </row>
    <row r="17" spans="1:12" ht="10.95" customHeight="1" x14ac:dyDescent="0.3">
      <c r="A17" s="13">
        <f t="shared" si="6"/>
        <v>7</v>
      </c>
      <c r="B17" s="13">
        <f t="shared" si="7"/>
        <v>3.5</v>
      </c>
      <c r="C17" s="14">
        <f>C16*C$5*(IF(ROW()&gt;9+$F$2,1,$E$2))*(1-$B$3-SUM(C$10:C16)/$J$2)</f>
        <v>1369330.8316298318</v>
      </c>
      <c r="D17" s="14">
        <f t="shared" si="1"/>
        <v>13434.357876639331</v>
      </c>
      <c r="E17" s="14">
        <f>E16*E$5*(IF(ROW()&gt;9+$F$2,1,$E$2))*(1-$B$3-SUM(E$10:E16)/$J$2)</f>
        <v>524031.89799391653</v>
      </c>
      <c r="F17" s="14">
        <f t="shared" si="2"/>
        <v>5760.0793528672148</v>
      </c>
      <c r="G17" s="14">
        <f>G16*G$5*(IF(ROW()&gt;9+$F$2,1,$E$2))*(1-$B$3-SUM(G$10:G16)/$J$2)</f>
        <v>19820.290888764423</v>
      </c>
      <c r="H17" s="14">
        <f t="shared" si="3"/>
        <v>326.02381052889518</v>
      </c>
      <c r="I17" s="14">
        <f ca="1">I16*I$5*(IF(ROW()&gt;9+$F$2,1,$E$2))*IF(ROW()&lt;=J$5, 1-$B$3-SUM(I$10:I16)/$J$2, (1-$B$3-SUM(I$10:INDIRECT("I"&amp;(J$5-1)))/$J$2)*(1-J$6*$D$2)-SUM(INDIRECT("I"&amp;J$5):I16)/$J$2)</f>
        <v>1369330.8316298318</v>
      </c>
      <c r="J17" s="14">
        <f t="shared" ca="1" si="4"/>
        <v>13434.357876639331</v>
      </c>
      <c r="K17" s="14">
        <f ca="1">K16*K$5*(IF(ROW()&gt;9+$F$2,1,$E$2))*IF(ROW()&lt;=L$5, 1-$B$3-SUM(K$10:K16)/$J$2, (1-$B$3-SUM(K$10:INDIRECT("k"&amp;(L$5-1)))/$J$2)*(1-L$6*$D$2)-SUM(INDIRECT("k"&amp;L$5):K16)/$J$2)</f>
        <v>524031.89799391653</v>
      </c>
      <c r="L17" s="14">
        <f t="shared" ca="1" si="5"/>
        <v>5760.0793528672148</v>
      </c>
    </row>
    <row r="18" spans="1:12" ht="10.95" customHeight="1" x14ac:dyDescent="0.3">
      <c r="A18" s="13">
        <f t="shared" si="6"/>
        <v>8</v>
      </c>
      <c r="B18" s="13">
        <f t="shared" si="7"/>
        <v>4</v>
      </c>
      <c r="C18" s="14">
        <f>C17*C$5*(IF(ROW()&gt;9+$F$2,1,$E$2))*(1-$B$3-SUM(C$10:C17)/$J$2)</f>
        <v>1544007.7395292467</v>
      </c>
      <c r="D18" s="14">
        <f t="shared" si="1"/>
        <v>13693.308316298318</v>
      </c>
      <c r="E18" s="14">
        <f>E17*E$5*(IF(ROW()&gt;9+$F$2,1,$E$2))*(1-$B$3-SUM(E$10:E17)/$J$2)</f>
        <v>528838.2693703986</v>
      </c>
      <c r="F18" s="14">
        <f t="shared" si="2"/>
        <v>5240.3189799391657</v>
      </c>
      <c r="G18" s="14">
        <f>G17*G$5*(IF(ROW()&gt;9+$F$2,1,$E$2))*(1-$B$3-SUM(G$10:G17)/$J$2)</f>
        <v>13387.555044062465</v>
      </c>
      <c r="H18" s="14">
        <f t="shared" si="3"/>
        <v>198.20290888764424</v>
      </c>
      <c r="I18" s="14">
        <f ca="1">I17*I$5*(IF(ROW()&gt;9+$F$2,1,$E$2))*IF(ROW()&lt;=J$5, 1-$B$3-SUM(I$10:I17)/$J$2, (1-$B$3-SUM(I$10:INDIRECT("I"&amp;(J$5-1)))/$J$2)*(1-J$6*$D$2)-SUM(INDIRECT("I"&amp;J$5):I17)/$J$2)</f>
        <v>1544007.7395292467</v>
      </c>
      <c r="J18" s="14">
        <f t="shared" ca="1" si="4"/>
        <v>13693.308316298318</v>
      </c>
      <c r="K18" s="14">
        <f ca="1">K17*K$5*(IF(ROW()&gt;9+$F$2,1,$E$2))*IF(ROW()&lt;=L$5, 1-$B$3-SUM(K$10:K17)/$J$2, (1-$B$3-SUM(K$10:INDIRECT("k"&amp;(L$5-1)))/$J$2)*(1-L$6*$D$2)-SUM(INDIRECT("k"&amp;L$5):K17)/$J$2)</f>
        <v>528838.2693703986</v>
      </c>
      <c r="L18" s="14">
        <f t="shared" ca="1" si="5"/>
        <v>5240.3189799391657</v>
      </c>
    </row>
    <row r="19" spans="1:12" ht="10.95" customHeight="1" x14ac:dyDescent="0.3">
      <c r="A19" s="13">
        <f t="shared" si="6"/>
        <v>9</v>
      </c>
      <c r="B19" s="13">
        <f t="shared" si="7"/>
        <v>4.5</v>
      </c>
      <c r="C19" s="14">
        <f>C18*C$5*(IF(ROW()&gt;9+$F$2,1,$E$2))*(1-$B$3-SUM(C$10:C18)/$J$2)</f>
        <v>1732324.3252442339</v>
      </c>
      <c r="D19" s="14">
        <f t="shared" si="1"/>
        <v>15440.077395292466</v>
      </c>
      <c r="E19" s="14">
        <f>E18*E$5*(IF(ROW()&gt;9+$F$2,1,$E$2))*(1-$B$3-SUM(E$10:E18)/$J$2)</f>
        <v>532793.10466610792</v>
      </c>
      <c r="F19" s="14">
        <f t="shared" si="2"/>
        <v>5288.3826937039858</v>
      </c>
      <c r="G19" s="14">
        <f>G18*G$5*(IF(ROW()&gt;9+$F$2,1,$E$2))*(1-$B$3-SUM(G$10:G18)/$J$2)</f>
        <v>9042.2042035641389</v>
      </c>
      <c r="H19" s="14">
        <f t="shared" si="3"/>
        <v>133.87555044062464</v>
      </c>
      <c r="I19" s="14">
        <f ca="1">I18*I$5*(IF(ROW()&gt;9+$F$2,1,$E$2))*IF(ROW()&lt;=J$5, 1-$B$3-SUM(I$10:I18)/$J$2, (1-$B$3-SUM(I$10:INDIRECT("I"&amp;(J$5-1)))/$J$2)*(1-J$6*$D$2)-SUM(INDIRECT("I"&amp;J$5):I18)/$J$2)</f>
        <v>1732324.3252442339</v>
      </c>
      <c r="J19" s="14">
        <f t="shared" ca="1" si="4"/>
        <v>15440.077395292466</v>
      </c>
      <c r="K19" s="14">
        <f ca="1">K18*K$5*(IF(ROW()&gt;9+$F$2,1,$E$2))*IF(ROW()&lt;=L$5, 1-$B$3-SUM(K$10:K18)/$J$2, (1-$B$3-SUM(K$10:INDIRECT("k"&amp;(L$5-1)))/$J$2)*(1-L$6*$D$2)-SUM(INDIRECT("k"&amp;L$5):K18)/$J$2)</f>
        <v>532793.10466610792</v>
      </c>
      <c r="L19" s="14">
        <f t="shared" ca="1" si="5"/>
        <v>5288.3826937039858</v>
      </c>
    </row>
    <row r="20" spans="1:12" ht="10.95" customHeight="1" x14ac:dyDescent="0.3">
      <c r="A20" s="13">
        <f t="shared" si="6"/>
        <v>10</v>
      </c>
      <c r="B20" s="13">
        <f t="shared" si="7"/>
        <v>5</v>
      </c>
      <c r="C20" s="14">
        <f>C19*C$5*(IF(ROW()&gt;9+$F$2,1,$E$2))*(1-$B$3-SUM(C$10:C19)/$J$2)</f>
        <v>1932729.5802322919</v>
      </c>
      <c r="D20" s="14">
        <f t="shared" si="1"/>
        <v>17323.243252442338</v>
      </c>
      <c r="E20" s="14">
        <f>E19*E$5*(IF(ROW()&gt;9+$F$2,1,$E$2))*(1-$B$3-SUM(E$10:E19)/$J$2)</f>
        <v>535868.45032397634</v>
      </c>
      <c r="F20" s="14">
        <f t="shared" si="2"/>
        <v>5327.9310466610796</v>
      </c>
      <c r="G20" s="14">
        <f>G19*G$5*(IF(ROW()&gt;9+$F$2,1,$E$2))*(1-$B$3-SUM(G$10:G19)/$J$2)</f>
        <v>6107.1003447163548</v>
      </c>
      <c r="H20" s="14">
        <f t="shared" si="3"/>
        <v>90.422042035641397</v>
      </c>
      <c r="I20" s="14">
        <f ca="1">I19*I$5*(IF(ROW()&gt;9+$F$2,1,$E$2))*IF(ROW()&lt;=J$5, 1-$B$3-SUM(I$10:I19)/$J$2, (1-$B$3-SUM(I$10:INDIRECT("I"&amp;(J$5-1)))/$J$2)*(1-J$6*$D$2)-SUM(INDIRECT("I"&amp;J$5):I19)/$J$2)</f>
        <v>1932729.5802322919</v>
      </c>
      <c r="J20" s="14">
        <f t="shared" ca="1" si="4"/>
        <v>17323.243252442338</v>
      </c>
      <c r="K20" s="14">
        <f ca="1">K19*K$5*(IF(ROW()&gt;9+$F$2,1,$E$2))*IF(ROW()&lt;=L$5, 1-$B$3-SUM(K$10:K19)/$J$2, (1-$B$3-SUM(K$10:INDIRECT("k"&amp;(L$5-1)))/$J$2)*(1-L$6*$D$2)-SUM(INDIRECT("k"&amp;L$5):K19)/$J$2)</f>
        <v>535868.45032397634</v>
      </c>
      <c r="L20" s="14">
        <f t="shared" ca="1" si="5"/>
        <v>5327.9310466610796</v>
      </c>
    </row>
    <row r="21" spans="1:12" ht="10.95" customHeight="1" x14ac:dyDescent="0.3">
      <c r="A21" s="13">
        <f t="shared" si="6"/>
        <v>11</v>
      </c>
      <c r="B21" s="13">
        <f t="shared" si="7"/>
        <v>5.5</v>
      </c>
      <c r="C21" s="14">
        <f>C20*C$5*(IF(ROW()&gt;9+$F$2,1,$E$2))*(1-$B$3-SUM(C$10:C20)/$J$2)</f>
        <v>2142776.4754933785</v>
      </c>
      <c r="D21" s="14">
        <f t="shared" si="1"/>
        <v>19327.295802322918</v>
      </c>
      <c r="E21" s="14">
        <f>E20*E$5*(IF(ROW()&gt;9+$F$2,1,$E$2))*(1-$B$3-SUM(E$10:E20)/$J$2)</f>
        <v>538041.9572280061</v>
      </c>
      <c r="F21" s="14">
        <f t="shared" si="2"/>
        <v>5358.6845032397632</v>
      </c>
      <c r="G21" s="14">
        <f>G20*G$5*(IF(ROW()&gt;9+$F$2,1,$E$2))*(1-$B$3-SUM(G$10:G20)/$J$2)</f>
        <v>4124.6537432307587</v>
      </c>
      <c r="H21" s="14">
        <f t="shared" si="3"/>
        <v>61.071003447163548</v>
      </c>
      <c r="I21" s="14">
        <f ca="1">I20*I$5*(IF(ROW()&gt;9+$F$2,1,$E$2))*IF(ROW()&lt;=J$5, 1-$B$3-SUM(I$10:I20)/$J$2, (1-$B$3-SUM(I$10:INDIRECT("I"&amp;(J$5-1)))/$J$2)*(1-J$6*$D$2)-SUM(INDIRECT("I"&amp;J$5):I20)/$J$2)</f>
        <v>2142776.4754933785</v>
      </c>
      <c r="J21" s="14">
        <f t="shared" ca="1" si="4"/>
        <v>19327.295802322918</v>
      </c>
      <c r="K21" s="14">
        <f ca="1">K20*K$5*(IF(ROW()&gt;9+$F$2,1,$E$2))*IF(ROW()&lt;=L$5, 1-$B$3-SUM(K$10:K20)/$J$2, (1-$B$3-SUM(K$10:INDIRECT("k"&amp;(L$5-1)))/$J$2)*(1-L$6*$D$2)-SUM(INDIRECT("k"&amp;L$5):K20)/$J$2)</f>
        <v>538041.9572280061</v>
      </c>
      <c r="L21" s="14">
        <f t="shared" ca="1" si="5"/>
        <v>5358.6845032397632</v>
      </c>
    </row>
    <row r="22" spans="1:12" ht="10.95" customHeight="1" x14ac:dyDescent="0.3">
      <c r="A22" s="13">
        <f t="shared" si="6"/>
        <v>12</v>
      </c>
      <c r="B22" s="13">
        <f t="shared" si="7"/>
        <v>6</v>
      </c>
      <c r="C22" s="14">
        <f>C21*C$5*(IF(ROW()&gt;9+$F$2,1,$E$2))*(1-$B$3-SUM(C$10:C21)/$J$2)</f>
        <v>2359005.1441635871</v>
      </c>
      <c r="D22" s="14">
        <f t="shared" si="1"/>
        <v>21427.764754933785</v>
      </c>
      <c r="E22" s="14">
        <f>E21*E$5*(IF(ROW()&gt;9+$F$2,1,$E$2))*(1-$B$3-SUM(E$10:E21)/$J$2)</f>
        <v>539297.2150308711</v>
      </c>
      <c r="F22" s="14">
        <f t="shared" si="2"/>
        <v>5380.4195722800614</v>
      </c>
      <c r="G22" s="14">
        <f>G21*G$5*(IF(ROW()&gt;9+$F$2,1,$E$2))*(1-$B$3-SUM(G$10:G21)/$J$2)</f>
        <v>2785.6998929044548</v>
      </c>
      <c r="H22" s="14">
        <f t="shared" si="3"/>
        <v>41.246537432307591</v>
      </c>
      <c r="I22" s="14">
        <f ca="1">I21*I$5*(IF(ROW()&gt;9+$F$2,1,$E$2))*IF(ROW()&lt;=J$5, 1-$B$3-SUM(I$10:I21)/$J$2, (1-$B$3-SUM(I$10:INDIRECT("I"&amp;(J$5-1)))/$J$2)*(1-J$6*$D$2)-SUM(INDIRECT("I"&amp;J$5):I21)/$J$2)</f>
        <v>2359005.1441635871</v>
      </c>
      <c r="J22" s="14">
        <f t="shared" ca="1" si="4"/>
        <v>21427.764754933785</v>
      </c>
      <c r="K22" s="14">
        <f ca="1">K21*K$5*(IF(ROW()&gt;9+$F$2,1,$E$2))*IF(ROW()&lt;=L$5, 1-$B$3-SUM(K$10:K21)/$J$2, (1-$B$3-SUM(K$10:INDIRECT("k"&amp;(L$5-1)))/$J$2)*(1-L$6*$D$2)-SUM(INDIRECT("k"&amp;L$5):K21)/$J$2)</f>
        <v>539297.2150308711</v>
      </c>
      <c r="L22" s="14">
        <f t="shared" ca="1" si="5"/>
        <v>5380.4195722800614</v>
      </c>
    </row>
    <row r="23" spans="1:12" ht="10.95" customHeight="1" x14ac:dyDescent="0.3">
      <c r="A23" s="13">
        <f t="shared" si="6"/>
        <v>13</v>
      </c>
      <c r="B23" s="13">
        <f t="shared" si="7"/>
        <v>6.5</v>
      </c>
      <c r="C23" s="14">
        <f>C22*C$5*(IF(ROW()&gt;9+$F$2,1,$E$2))*(1-$B$3-SUM(C$10:C22)/$J$2)</f>
        <v>2576878.6750839348</v>
      </c>
      <c r="D23" s="14">
        <f t="shared" si="1"/>
        <v>23590.051441635871</v>
      </c>
      <c r="E23" s="14">
        <f>E22*E$5*(IF(ROW()&gt;9+$F$2,1,$E$2))*(1-$B$3-SUM(E$10:E22)/$J$2)</f>
        <v>539624.00566819787</v>
      </c>
      <c r="F23" s="14">
        <f t="shared" si="2"/>
        <v>5392.9721503087112</v>
      </c>
      <c r="G23" s="14">
        <f>G22*G$5*(IF(ROW()&gt;9+$F$2,1,$E$2))*(1-$B$3-SUM(G$10:G22)/$J$2)</f>
        <v>1881.3836714902573</v>
      </c>
      <c r="H23" s="14">
        <f t="shared" si="3"/>
        <v>27.856998929044551</v>
      </c>
      <c r="I23" s="14">
        <f ca="1">I22*I$5*(IF(ROW()&gt;9+$F$2,1,$E$2))*IF(ROW()&lt;=J$5, 1-$B$3-SUM(I$10:I22)/$J$2, (1-$B$3-SUM(I$10:INDIRECT("I"&amp;(J$5-1)))/$J$2)*(1-J$6*$D$2)-SUM(INDIRECT("I"&amp;J$5):I22)/$J$2)</f>
        <v>2576878.6750839348</v>
      </c>
      <c r="J23" s="14">
        <f t="shared" ca="1" si="4"/>
        <v>23590.051441635871</v>
      </c>
      <c r="K23" s="14">
        <f ca="1">K22*K$5*(IF(ROW()&gt;9+$F$2,1,$E$2))*IF(ROW()&lt;=L$5, 1-$B$3-SUM(K$10:K22)/$J$2, (1-$B$3-SUM(K$10:INDIRECT("k"&amp;(L$5-1)))/$J$2)*(1-L$6*$D$2)-SUM(INDIRECT("k"&amp;L$5):K22)/$J$2)</f>
        <v>539624.00566819787</v>
      </c>
      <c r="L23" s="14">
        <f t="shared" ca="1" si="5"/>
        <v>5392.9721503087112</v>
      </c>
    </row>
    <row r="24" spans="1:12" ht="10.95" customHeight="1" x14ac:dyDescent="0.3">
      <c r="A24" s="13">
        <f t="shared" si="6"/>
        <v>14</v>
      </c>
      <c r="B24" s="13">
        <f t="shared" si="7"/>
        <v>7</v>
      </c>
      <c r="C24" s="14">
        <f>C23*C$5*(IF(ROW()&gt;9+$F$2,1,$E$2))*(1-$B$3-SUM(C$10:C23)/$J$2)</f>
        <v>2790801.0102731106</v>
      </c>
      <c r="D24" s="14">
        <f t="shared" si="1"/>
        <v>25768.78675083935</v>
      </c>
      <c r="E24" s="14">
        <f>E23*E$5*(IF(ROW()&gt;9+$F$2,1,$E$2))*(1-$B$3-SUM(E$10:E23)/$J$2)</f>
        <v>539018.46951813903</v>
      </c>
      <c r="F24" s="14">
        <f t="shared" si="2"/>
        <v>5396.2400566819788</v>
      </c>
      <c r="G24" s="14">
        <f>G23*G$5*(IF(ROW()&gt;9+$F$2,1,$E$2))*(1-$B$3-SUM(G$10:G23)/$J$2)</f>
        <v>1270.6263427078638</v>
      </c>
      <c r="H24" s="14">
        <f t="shared" si="3"/>
        <v>18.813836714902575</v>
      </c>
      <c r="I24" s="14">
        <f ca="1">I23*I$5*(IF(ROW()&gt;9+$F$2,1,$E$2))*IF(ROW()&lt;=J$5, 1-$B$3-SUM(I$10:I23)/$J$2, (1-$B$3-SUM(I$10:INDIRECT("I"&amp;(J$5-1)))/$J$2)*(1-J$6*$D$2)-SUM(INDIRECT("I"&amp;J$5):I23)/$J$2)</f>
        <v>2790801.0102731106</v>
      </c>
      <c r="J24" s="14">
        <f t="shared" ca="1" si="4"/>
        <v>25768.78675083935</v>
      </c>
      <c r="K24" s="14">
        <f ca="1">K23*K$5*(IF(ROW()&gt;9+$F$2,1,$E$2))*IF(ROW()&lt;=L$5, 1-$B$3-SUM(K$10:K23)/$J$2, (1-$B$3-SUM(K$10:INDIRECT("k"&amp;(L$5-1)))/$J$2)*(1-L$6*$D$2)-SUM(INDIRECT("k"&amp;L$5):K23)/$J$2)</f>
        <v>539018.46951813903</v>
      </c>
      <c r="L24" s="14">
        <f t="shared" ca="1" si="5"/>
        <v>5396.2400566819788</v>
      </c>
    </row>
    <row r="25" spans="1:12" ht="10.95" customHeight="1" x14ac:dyDescent="0.3">
      <c r="A25" s="13">
        <f t="shared" si="6"/>
        <v>15</v>
      </c>
      <c r="B25" s="13">
        <f t="shared" si="7"/>
        <v>7.5</v>
      </c>
      <c r="C25" s="14">
        <f>C24*C$5*(IF(ROW()&gt;9+$F$2,1,$E$2))*(1-$B$3-SUM(C$10:C24)/$J$2)</f>
        <v>2994245.8280121945</v>
      </c>
      <c r="D25" s="14">
        <f t="shared" si="1"/>
        <v>27908.010102731107</v>
      </c>
      <c r="E25" s="14">
        <f>E24*E$5*(IF(ROW()&gt;9+$F$2,1,$E$2))*(1-$B$3-SUM(E$10:E24)/$J$2)</f>
        <v>537483.17973996326</v>
      </c>
      <c r="F25" s="14">
        <f t="shared" si="2"/>
        <v>5390.1846951813905</v>
      </c>
      <c r="G25" s="14">
        <f>G24*G$5*(IF(ROW()&gt;9+$F$2,1,$E$2))*(1-$B$3-SUM(G$10:G24)/$J$2)</f>
        <v>858.13696779654197</v>
      </c>
      <c r="H25" s="14">
        <f t="shared" si="3"/>
        <v>12.706263427078639</v>
      </c>
      <c r="I25" s="14">
        <f ca="1">I24*I$5*(IF(ROW()&gt;9+$F$2,1,$E$2))*IF(ROW()&lt;=J$5, 1-$B$3-SUM(I$10:I24)/$J$2, (1-$B$3-SUM(I$10:INDIRECT("I"&amp;(J$5-1)))/$J$2)*(1-J$6*$D$2)-SUM(INDIRECT("I"&amp;J$5):I24)/$J$2)</f>
        <v>2994245.8280121945</v>
      </c>
      <c r="J25" s="14">
        <f t="shared" ca="1" si="4"/>
        <v>27908.010102731107</v>
      </c>
      <c r="K25" s="14">
        <f ca="1">K24*K$5*(IF(ROW()&gt;9+$F$2,1,$E$2))*IF(ROW()&lt;=L$5, 1-$B$3-SUM(K$10:K24)/$J$2, (1-$B$3-SUM(K$10:INDIRECT("k"&amp;(L$5-1)))/$J$2)*(1-L$6*$D$2)-SUM(INDIRECT("k"&amp;L$5):K24)/$J$2)</f>
        <v>537483.17973996326</v>
      </c>
      <c r="L25" s="14">
        <f t="shared" ca="1" si="5"/>
        <v>5390.1846951813905</v>
      </c>
    </row>
    <row r="26" spans="1:12" ht="10.95" customHeight="1" x14ac:dyDescent="0.3">
      <c r="A26" s="13">
        <f t="shared" si="6"/>
        <v>16</v>
      </c>
      <c r="B26" s="13">
        <f t="shared" si="7"/>
        <v>8</v>
      </c>
      <c r="C26" s="14">
        <f>C25*C$5*(IF(ROW()&gt;9+$F$2,1,$E$2))*(1-$B$3-SUM(C$10:C25)/$J$2)</f>
        <v>3180018.0868374323</v>
      </c>
      <c r="D26" s="14">
        <f t="shared" si="1"/>
        <v>29942.458280121944</v>
      </c>
      <c r="E26" s="14">
        <f>E25*E$5*(IF(ROW()&gt;9+$F$2,1,$E$2))*(1-$B$3-SUM(E$10:E25)/$J$2)</f>
        <v>535027.12257920112</v>
      </c>
      <c r="F26" s="14">
        <f t="shared" si="2"/>
        <v>5374.8317973996327</v>
      </c>
      <c r="G26" s="14">
        <f>G25*G$5*(IF(ROW()&gt;9+$F$2,1,$E$2))*(1-$B$3-SUM(G$10:G25)/$J$2)</f>
        <v>579.55439136672737</v>
      </c>
      <c r="H26" s="14">
        <f t="shared" si="3"/>
        <v>8.5813696779654194</v>
      </c>
      <c r="I26" s="14">
        <f ca="1">I25*I$5*(IF(ROW()&gt;9+$F$2,1,$E$2))*IF(ROW()&lt;=J$5, 1-$B$3-SUM(I$10:I25)/$J$2, (1-$B$3-SUM(I$10:INDIRECT("I"&amp;(J$5-1)))/$J$2)*(1-J$6*$D$2)-SUM(INDIRECT("I"&amp;J$5):I25)/$J$2)</f>
        <v>3180018.0868374323</v>
      </c>
      <c r="J26" s="14">
        <f t="shared" ca="1" si="4"/>
        <v>29942.458280121944</v>
      </c>
      <c r="K26" s="14">
        <f ca="1">K25*K$5*(IF(ROW()&gt;9+$F$2,1,$E$2))*IF(ROW()&lt;=L$5, 1-$B$3-SUM(K$10:K25)/$J$2, (1-$B$3-SUM(K$10:INDIRECT("k"&amp;(L$5-1)))/$J$2)*(1-L$6*$D$2)-SUM(INDIRECT("k"&amp;L$5):K25)/$J$2)</f>
        <v>535027.12257920112</v>
      </c>
      <c r="L26" s="14">
        <f t="shared" ca="1" si="5"/>
        <v>5374.8317973996327</v>
      </c>
    </row>
    <row r="27" spans="1:12" ht="10.95" customHeight="1" x14ac:dyDescent="0.3">
      <c r="A27" s="13">
        <f t="shared" si="6"/>
        <v>17</v>
      </c>
      <c r="B27" s="13">
        <f t="shared" si="7"/>
        <v>8.5</v>
      </c>
      <c r="C27" s="14">
        <f>C26*C$5*(IF(ROW()&gt;9+$F$2,1,$E$2))*(1-$B$3-SUM(C$10:C26)/$J$2)</f>
        <v>3340654.5444344487</v>
      </c>
      <c r="D27" s="14">
        <f t="shared" si="1"/>
        <v>31800.180868374326</v>
      </c>
      <c r="E27" s="14">
        <f>E26*E$5*(IF(ROW()&gt;9+$F$2,1,$E$2))*(1-$B$3-SUM(E$10:E26)/$J$2)</f>
        <v>531665.58377584966</v>
      </c>
      <c r="F27" s="14">
        <f t="shared" si="2"/>
        <v>5350.2712257920111</v>
      </c>
      <c r="G27" s="14">
        <f>G26*G$5*(IF(ROW()&gt;9+$F$2,1,$E$2))*(1-$B$3-SUM(G$10:G26)/$J$2)</f>
        <v>391.40917545701114</v>
      </c>
      <c r="H27" s="14">
        <f t="shared" si="3"/>
        <v>5.7955439136672737</v>
      </c>
      <c r="I27" s="14">
        <f ca="1">I26*I$5*(IF(ROW()&gt;9+$F$2,1,$E$2))*IF(ROW()&lt;=J$5, 1-$B$3-SUM(I$10:I26)/$J$2, (1-$B$3-SUM(I$10:INDIRECT("I"&amp;(J$5-1)))/$J$2)*(1-J$6*$D$2)-SUM(INDIRECT("I"&amp;J$5):I26)/$J$2)</f>
        <v>1651996.4292578045</v>
      </c>
      <c r="J27" s="14">
        <f t="shared" ca="1" si="4"/>
        <v>31800.180868374326</v>
      </c>
      <c r="K27" s="14">
        <f ca="1">K26*K$5*(IF(ROW()&gt;9+$F$2,1,$E$2))*IF(ROW()&lt;=L$5, 1-$B$3-SUM(K$10:K26)/$J$2, (1-$B$3-SUM(K$10:INDIRECT("k"&amp;(L$5-1)))/$J$2)*(1-L$6*$D$2)-SUM(INDIRECT("k"&amp;L$5):K26)/$J$2)</f>
        <v>265374.43952658179</v>
      </c>
      <c r="L27" s="14">
        <f t="shared" ca="1" si="5"/>
        <v>5350.2712257920111</v>
      </c>
    </row>
    <row r="28" spans="1:12" ht="10.95" customHeight="1" x14ac:dyDescent="0.3">
      <c r="A28" s="13">
        <f t="shared" si="6"/>
        <v>18</v>
      </c>
      <c r="B28" s="13">
        <f t="shared" si="7"/>
        <v>9</v>
      </c>
      <c r="C28" s="14">
        <f>C27*C$5*(IF(ROW()&gt;9+$F$2,1,$E$2))*(1-$B$3-SUM(C$10:C27)/$J$2)</f>
        <v>3468946.3279373241</v>
      </c>
      <c r="D28" s="14">
        <f t="shared" si="1"/>
        <v>33406.545444344491</v>
      </c>
      <c r="E28" s="14">
        <f>E27*E$5*(IF(ROW()&gt;9+$F$2,1,$E$2))*(1-$B$3-SUM(E$10:E27)/$J$2)</f>
        <v>527419.94356707926</v>
      </c>
      <c r="F28" s="14">
        <f t="shared" si="2"/>
        <v>5316.655837758497</v>
      </c>
      <c r="G28" s="14">
        <f>G27*G$5*(IF(ROW()&gt;9+$F$2,1,$E$2))*(1-$B$3-SUM(G$10:G27)/$J$2)</f>
        <v>264.34266937505788</v>
      </c>
      <c r="H28" s="14">
        <f t="shared" si="3"/>
        <v>3.9140917545701117</v>
      </c>
      <c r="I28" s="14">
        <f ca="1">I27*I$5*(IF(ROW()&gt;9+$F$2,1,$E$2))*IF(ROW()&lt;=J$5, 1-$B$3-SUM(I$10:I27)/$J$2, (1-$B$3-SUM(I$10:INDIRECT("I"&amp;(J$5-1)))/$J$2)*(1-J$6*$D$2)-SUM(INDIRECT("I"&amp;J$5):I27)/$J$2)</f>
        <v>848306.22402731259</v>
      </c>
      <c r="J28" s="14">
        <f t="shared" ca="1" si="4"/>
        <v>16519.964292578046</v>
      </c>
      <c r="K28" s="14">
        <f ca="1">K27*K$5*(IF(ROW()&gt;9+$F$2,1,$E$2))*IF(ROW()&lt;=L$5, 1-$B$3-SUM(K$10:K27)/$J$2, (1-$B$3-SUM(K$10:INDIRECT("k"&amp;(L$5-1)))/$J$2)*(1-L$6*$D$2)-SUM(INDIRECT("k"&amp;L$5):K27)/$J$2)</f>
        <v>131400.68571757112</v>
      </c>
      <c r="L28" s="14">
        <f t="shared" ca="1" si="5"/>
        <v>2653.7443952658177</v>
      </c>
    </row>
    <row r="29" spans="1:12" ht="10.95" customHeight="1" x14ac:dyDescent="0.3">
      <c r="A29" s="13">
        <f t="shared" si="6"/>
        <v>19</v>
      </c>
      <c r="B29" s="13">
        <f t="shared" si="7"/>
        <v>9.5</v>
      </c>
      <c r="C29" s="14">
        <f>C28*C$5*(IF(ROW()&gt;9+$F$2,1,$E$2))*(1-$B$3-SUM(C$10:C28)/$J$2)</f>
        <v>3558538.6217058958</v>
      </c>
      <c r="D29" s="14">
        <f t="shared" si="1"/>
        <v>34689.463279373238</v>
      </c>
      <c r="E29" s="14">
        <f>E28*E$5*(IF(ROW()&gt;9+$F$2,1,$E$2))*(1-$B$3-SUM(E$10:E28)/$J$2)</f>
        <v>522317.38504682179</v>
      </c>
      <c r="F29" s="14">
        <f t="shared" si="2"/>
        <v>5274.1994356707928</v>
      </c>
      <c r="G29" s="14">
        <f>G28*G$5*(IF(ROW()&gt;9+$F$2,1,$E$2))*(1-$B$3-SUM(G$10:G28)/$J$2)</f>
        <v>178.52670144937036</v>
      </c>
      <c r="H29" s="14">
        <f t="shared" si="3"/>
        <v>2.643426693750579</v>
      </c>
      <c r="I29" s="14">
        <f ca="1">I28*I$5*(IF(ROW()&gt;9+$F$2,1,$E$2))*IF(ROW()&lt;=J$5, 1-$B$3-SUM(I$10:I28)/$J$2, (1-$B$3-SUM(I$10:INDIRECT("I"&amp;(J$5-1)))/$J$2)*(1-J$6*$D$2)-SUM(INDIRECT("I"&amp;J$5):I28)/$J$2)</f>
        <v>432999.44987322943</v>
      </c>
      <c r="J29" s="14">
        <f t="shared" ca="1" si="4"/>
        <v>8483.062240273126</v>
      </c>
      <c r="K29" s="14">
        <f ca="1">K28*K$5*(IF(ROW()&gt;9+$F$2,1,$E$2))*IF(ROW()&lt;=L$5, 1-$B$3-SUM(K$10:K28)/$J$2, (1-$B$3-SUM(K$10:INDIRECT("k"&amp;(L$5-1)))/$J$2)*(1-L$6*$D$2)-SUM(INDIRECT("k"&amp;L$5):K28)/$J$2)</f>
        <v>65008.019567466828</v>
      </c>
      <c r="L29" s="14">
        <f t="shared" ca="1" si="5"/>
        <v>1314.0068571757113</v>
      </c>
    </row>
    <row r="30" spans="1:12" ht="10.95" customHeight="1" x14ac:dyDescent="0.3">
      <c r="A30" s="13">
        <f t="shared" si="6"/>
        <v>20</v>
      </c>
      <c r="B30" s="13">
        <f t="shared" si="7"/>
        <v>10</v>
      </c>
      <c r="C30" s="14">
        <f>C29*C$5*(IF(ROW()&gt;9+$F$2,1,$E$2))*(1-$B$3-SUM(C$10:C29)/$J$2)</f>
        <v>3604535.9391761692</v>
      </c>
      <c r="D30" s="14">
        <f t="shared" si="1"/>
        <v>35585.386217058956</v>
      </c>
      <c r="E30" s="14">
        <f>E29*E$5*(IF(ROW()&gt;9+$F$2,1,$E$2))*(1-$B$3-SUM(E$10:E29)/$J$2)</f>
        <v>516390.52274557453</v>
      </c>
      <c r="F30" s="14">
        <f t="shared" si="2"/>
        <v>5223.173850468218</v>
      </c>
      <c r="G30" s="14">
        <f>G29*G$5*(IF(ROW()&gt;9+$F$2,1,$E$2))*(1-$B$3-SUM(G$10:G29)/$J$2)</f>
        <v>120.5698852492052</v>
      </c>
      <c r="H30" s="14">
        <f t="shared" si="3"/>
        <v>1.7852670144937037</v>
      </c>
      <c r="I30" s="14">
        <f ca="1">I29*I$5*(IF(ROW()&gt;9+$F$2,1,$E$2))*IF(ROW()&lt;=J$5, 1-$B$3-SUM(I$10:I29)/$J$2, (1-$B$3-SUM(I$10:INDIRECT("I"&amp;(J$5-1)))/$J$2)*(1-J$6*$D$2)-SUM(INDIRECT("I"&amp;J$5):I29)/$J$2)</f>
        <v>220335.4288672015</v>
      </c>
      <c r="J30" s="14">
        <f t="shared" ca="1" si="4"/>
        <v>4329.9944987322942</v>
      </c>
      <c r="K30" s="14">
        <f ca="1">K29*K$5*(IF(ROW()&gt;9+$F$2,1,$E$2))*IF(ROW()&lt;=L$5, 1-$B$3-SUM(K$10:K29)/$J$2, (1-$B$3-SUM(K$10:INDIRECT("k"&amp;(L$5-1)))/$J$2)*(1-L$6*$D$2)-SUM(INDIRECT("k"&amp;L$5):K29)/$J$2)</f>
        <v>32147.96229730481</v>
      </c>
      <c r="L30" s="14">
        <f t="shared" ca="1" si="5"/>
        <v>650.08019567466829</v>
      </c>
    </row>
    <row r="31" spans="1:12" ht="10.95" customHeight="1" x14ac:dyDescent="0.3">
      <c r="A31" s="13">
        <f t="shared" si="6"/>
        <v>21</v>
      </c>
      <c r="B31" s="13">
        <f t="shared" si="7"/>
        <v>10.5</v>
      </c>
      <c r="C31" s="14">
        <f>C30*C$5*(IF(ROW()&gt;9+$F$2,1,$E$2))*(1-$B$3-SUM(C$10:C30)/$J$2)</f>
        <v>3604024.4442154979</v>
      </c>
      <c r="D31" s="14">
        <f t="shared" si="1"/>
        <v>36045.359391761696</v>
      </c>
      <c r="E31" s="14">
        <f>E30*E$5*(IF(ROW()&gt;9+$F$2,1,$E$2))*(1-$B$3-SUM(E$10:E30)/$J$2)</f>
        <v>509676.96014739282</v>
      </c>
      <c r="F31" s="14">
        <f t="shared" si="2"/>
        <v>5163.9052274557453</v>
      </c>
      <c r="G31" s="14">
        <f>G30*G$5*(IF(ROW()&gt;9+$F$2,1,$E$2))*(1-$B$3-SUM(G$10:G30)/$J$2)</f>
        <v>81.42810919891383</v>
      </c>
      <c r="H31" s="14">
        <f t="shared" si="3"/>
        <v>1.205698852492052</v>
      </c>
      <c r="I31" s="14">
        <f ca="1">I30*I$5*(IF(ROW()&gt;9+$F$2,1,$E$2))*IF(ROW()&lt;=J$5, 1-$B$3-SUM(I$10:I30)/$J$2, (1-$B$3-SUM(I$10:INDIRECT("I"&amp;(J$5-1)))/$J$2)*(1-J$6*$D$2)-SUM(INDIRECT("I"&amp;J$5):I30)/$J$2)</f>
        <v>111943.54103934419</v>
      </c>
      <c r="J31" s="14">
        <f t="shared" ca="1" si="4"/>
        <v>2203.3542886720152</v>
      </c>
      <c r="K31" s="14">
        <f ca="1">K30*K$5*(IF(ROW()&gt;9+$F$2,1,$E$2))*IF(ROW()&lt;=L$5, 1-$B$3-SUM(K$10:K30)/$J$2, (1-$B$3-SUM(K$10:INDIRECT("k"&amp;(L$5-1)))/$J$2)*(1-L$6*$D$2)-SUM(INDIRECT("k"&amp;L$5):K30)/$J$2)</f>
        <v>15894.597799052081</v>
      </c>
      <c r="L31" s="14">
        <f t="shared" ca="1" si="5"/>
        <v>321.47962297304809</v>
      </c>
    </row>
    <row r="32" spans="1:12" ht="10.95" customHeight="1" x14ac:dyDescent="0.3">
      <c r="A32" s="13">
        <f t="shared" si="6"/>
        <v>22</v>
      </c>
      <c r="B32" s="13">
        <f t="shared" si="7"/>
        <v>11</v>
      </c>
      <c r="C32" s="14">
        <f>C31*C$5*(IF(ROW()&gt;9+$F$2,1,$E$2))*(1-$B$3-SUM(C$10:C31)/$J$2)</f>
        <v>3556423.0199239617</v>
      </c>
      <c r="D32" s="14">
        <f t="shared" si="1"/>
        <v>36040.244442154981</v>
      </c>
      <c r="E32" s="14">
        <f>E31*E$5*(IF(ROW()&gt;9+$F$2,1,$E$2))*(1-$B$3-SUM(E$10:E31)/$J$2)</f>
        <v>502218.78640266124</v>
      </c>
      <c r="F32" s="14">
        <f t="shared" si="2"/>
        <v>5096.7696014739286</v>
      </c>
      <c r="G32" s="14">
        <f>G31*G$5*(IF(ROW()&gt;9+$F$2,1,$E$2))*(1-$B$3-SUM(G$10:G31)/$J$2)</f>
        <v>54.993295078124142</v>
      </c>
      <c r="H32" s="14">
        <f t="shared" si="3"/>
        <v>0.81428109198913834</v>
      </c>
      <c r="I32" s="14">
        <f ca="1">I31*I$5*(IF(ROW()&gt;9+$F$2,1,$E$2))*IF(ROW()&lt;=J$5, 1-$B$3-SUM(I$10:I31)/$J$2, (1-$B$3-SUM(I$10:INDIRECT("I"&amp;(J$5-1)))/$J$2)*(1-J$6*$D$2)-SUM(INDIRECT("I"&amp;J$5):I31)/$J$2)</f>
        <v>56828.565465524116</v>
      </c>
      <c r="J32" s="14">
        <f t="shared" ca="1" si="4"/>
        <v>1119.4354103934418</v>
      </c>
      <c r="K32" s="14">
        <f ca="1">K31*K$5*(IF(ROW()&gt;9+$F$2,1,$E$2))*IF(ROW()&lt;=L$5, 1-$B$3-SUM(K$10:K31)/$J$2, (1-$B$3-SUM(K$10:INDIRECT("k"&amp;(L$5-1)))/$J$2)*(1-L$6*$D$2)-SUM(INDIRECT("k"&amp;L$5):K31)/$J$2)</f>
        <v>7857.799118122869</v>
      </c>
      <c r="L32" s="14">
        <f t="shared" ca="1" si="5"/>
        <v>158.94597799052082</v>
      </c>
    </row>
    <row r="33" spans="1:12" ht="10.95" customHeight="1" x14ac:dyDescent="0.3">
      <c r="A33" s="13">
        <f t="shared" si="6"/>
        <v>23</v>
      </c>
      <c r="B33" s="13">
        <f t="shared" si="7"/>
        <v>11.5</v>
      </c>
      <c r="C33" s="14">
        <f>C32*C$5*(IF(ROW()&gt;9+$F$2,1,$E$2))*(1-$B$3-SUM(C$10:C32)/$J$2)</f>
        <v>3463596.0072217803</v>
      </c>
      <c r="D33" s="14">
        <f t="shared" si="1"/>
        <v>35564.230199239617</v>
      </c>
      <c r="E33" s="14">
        <f>E32*E$5*(IF(ROW()&gt;9+$F$2,1,$E$2))*(1-$B$3-SUM(E$10:E32)/$J$2)</f>
        <v>494062.0236759088</v>
      </c>
      <c r="F33" s="14">
        <f t="shared" si="2"/>
        <v>5022.1878640266123</v>
      </c>
      <c r="G33" s="14">
        <f>G32*G$5*(IF(ROW()&gt;9+$F$2,1,$E$2))*(1-$B$3-SUM(G$10:G32)/$J$2)</f>
        <v>37.140270264294443</v>
      </c>
      <c r="H33" s="14">
        <f t="shared" si="3"/>
        <v>0.54993295078124138</v>
      </c>
      <c r="I33" s="14">
        <f ca="1">I32*I$5*(IF(ROW()&gt;9+$F$2,1,$E$2))*IF(ROW()&lt;=J$5, 1-$B$3-SUM(I$10:I32)/$J$2, (1-$B$3-SUM(I$10:INDIRECT("I"&amp;(J$5-1)))/$J$2)*(1-J$6*$D$2)-SUM(INDIRECT("I"&amp;J$5):I32)/$J$2)</f>
        <v>28837.529848295799</v>
      </c>
      <c r="J33" s="14">
        <f t="shared" ca="1" si="4"/>
        <v>568.28565465524116</v>
      </c>
      <c r="K33" s="14">
        <f ca="1">K32*K$5*(IF(ROW()&gt;9+$F$2,1,$E$2))*IF(ROW()&lt;=L$5, 1-$B$3-SUM(K$10:K32)/$J$2, (1-$B$3-SUM(K$10:INDIRECT("k"&amp;(L$5-1)))/$J$2)*(1-L$6*$D$2)-SUM(INDIRECT("k"&amp;L$5):K32)/$J$2)</f>
        <v>3884.4558931774441</v>
      </c>
      <c r="L33" s="14">
        <f t="shared" ca="1" si="5"/>
        <v>78.577991181228697</v>
      </c>
    </row>
    <row r="34" spans="1:12" ht="10.95" customHeight="1" x14ac:dyDescent="0.3">
      <c r="A34" s="13">
        <f t="shared" si="6"/>
        <v>24</v>
      </c>
      <c r="B34" s="13">
        <f t="shared" si="7"/>
        <v>12</v>
      </c>
      <c r="C34" s="14">
        <f>C33*C$5*(IF(ROW()&gt;9+$F$2,1,$E$2))*(1-$B$3-SUM(C$10:C33)/$J$2)</f>
        <v>3329700.0605463376</v>
      </c>
      <c r="D34" s="14">
        <f t="shared" si="1"/>
        <v>34635.9600722178</v>
      </c>
      <c r="E34" s="14">
        <f>E33*E$5*(IF(ROW()&gt;9+$F$2,1,$E$2))*(1-$B$3-SUM(E$10:E33)/$J$2)</f>
        <v>485256.03735659429</v>
      </c>
      <c r="F34" s="14">
        <f t="shared" si="2"/>
        <v>4940.6202367590877</v>
      </c>
      <c r="G34" s="14">
        <f>G33*G$5*(IF(ROW()&gt;9+$F$2,1,$E$2))*(1-$B$3-SUM(G$10:G33)/$J$2)</f>
        <v>25.083048995719071</v>
      </c>
      <c r="H34" s="14">
        <f t="shared" si="3"/>
        <v>0.37140270264294445</v>
      </c>
      <c r="I34" s="14">
        <f ca="1">I33*I$5*(IF(ROW()&gt;9+$F$2,1,$E$2))*IF(ROW()&lt;=J$5, 1-$B$3-SUM(I$10:I33)/$J$2, (1-$B$3-SUM(I$10:INDIRECT("I"&amp;(J$5-1)))/$J$2)*(1-J$6*$D$2)-SUM(INDIRECT("I"&amp;J$5):I33)/$J$2)</f>
        <v>14630.525861371876</v>
      </c>
      <c r="J34" s="14">
        <f t="shared" ca="1" si="4"/>
        <v>288.37529848295799</v>
      </c>
      <c r="K34" s="14">
        <f ca="1">K33*K$5*(IF(ROW()&gt;9+$F$2,1,$E$2))*IF(ROW()&lt;=L$5, 1-$B$3-SUM(K$10:K33)/$J$2, (1-$B$3-SUM(K$10:INDIRECT("k"&amp;(L$5-1)))/$J$2)*(1-L$6*$D$2)-SUM(INDIRECT("k"&amp;L$5):K33)/$J$2)</f>
        <v>1920.2091655000454</v>
      </c>
      <c r="L34" s="14">
        <f t="shared" ca="1" si="5"/>
        <v>38.844558931774444</v>
      </c>
    </row>
    <row r="35" spans="1:12" ht="10.95" customHeight="1" x14ac:dyDescent="0.3">
      <c r="A35" s="13">
        <f t="shared" si="6"/>
        <v>25</v>
      </c>
      <c r="B35" s="13">
        <f t="shared" si="7"/>
        <v>12.5</v>
      </c>
      <c r="C35" s="14">
        <f>C34*C$5*(IF(ROW()&gt;9+$F$2,1,$E$2))*(1-$B$3-SUM(C$10:C34)/$J$2)</f>
        <v>3160786.0646935627</v>
      </c>
      <c r="D35" s="14">
        <f t="shared" si="1"/>
        <v>33297.000605463378</v>
      </c>
      <c r="E35" s="14">
        <f>E34*E$5*(IF(ROW()&gt;9+$F$2,1,$E$2))*(1-$B$3-SUM(E$10:E34)/$J$2)</f>
        <v>475852.92174511467</v>
      </c>
      <c r="F35" s="14">
        <f t="shared" si="2"/>
        <v>4852.5603735659433</v>
      </c>
      <c r="G35" s="14">
        <f>G34*G$5*(IF(ROW()&gt;9+$F$2,1,$E$2))*(1-$B$3-SUM(G$10:G34)/$J$2)</f>
        <v>16.940083985052986</v>
      </c>
      <c r="H35" s="14">
        <f t="shared" si="3"/>
        <v>0.25083048995719071</v>
      </c>
      <c r="I35" s="14">
        <f ca="1">I34*I$5*(IF(ROW()&gt;9+$F$2,1,$E$2))*IF(ROW()&lt;=J$5, 1-$B$3-SUM(I$10:I34)/$J$2, (1-$B$3-SUM(I$10:INDIRECT("I"&amp;(J$5-1)))/$J$2)*(1-J$6*$D$2)-SUM(INDIRECT("I"&amp;J$5):I34)/$J$2)</f>
        <v>7421.9223905604695</v>
      </c>
      <c r="J35" s="14">
        <f t="shared" ca="1" si="4"/>
        <v>146.30525861371876</v>
      </c>
      <c r="K35" s="14">
        <f ca="1">K34*K$5*(IF(ROW()&gt;9+$F$2,1,$E$2))*IF(ROW()&lt;=L$5, 1-$B$3-SUM(K$10:K34)/$J$2, (1-$B$3-SUM(K$10:INDIRECT("k"&amp;(L$5-1)))/$J$2)*(1-L$6*$D$2)-SUM(INDIRECT("k"&amp;L$5):K34)/$J$2)</f>
        <v>949.20819624665921</v>
      </c>
      <c r="L35" s="14">
        <f t="shared" ca="1" si="5"/>
        <v>19.202091655000455</v>
      </c>
    </row>
    <row r="36" spans="1:12" ht="10.95" customHeight="1" x14ac:dyDescent="0.3">
      <c r="A36" s="13">
        <f t="shared" si="6"/>
        <v>26</v>
      </c>
      <c r="B36" s="13">
        <f t="shared" si="7"/>
        <v>13</v>
      </c>
      <c r="C36" s="14">
        <f>C35*C$5*(IF(ROW()&gt;9+$F$2,1,$E$2))*(1-$B$3-SUM(C$10:C35)/$J$2)</f>
        <v>2964221.4063525908</v>
      </c>
      <c r="D36" s="14">
        <f t="shared" si="1"/>
        <v>31607.860646935627</v>
      </c>
      <c r="E36" s="14">
        <f>E35*E$5*(IF(ROW()&gt;9+$F$2,1,$E$2))*(1-$B$3-SUM(E$10:E35)/$J$2)</f>
        <v>465906.87381243159</v>
      </c>
      <c r="F36" s="14">
        <f t="shared" si="2"/>
        <v>4758.5292174511469</v>
      </c>
      <c r="G36" s="14">
        <f>G35*G$5*(IF(ROW()&gt;9+$F$2,1,$E$2))*(1-$B$3-SUM(G$10:G35)/$J$2)</f>
        <v>11.440651822164151</v>
      </c>
      <c r="H36" s="14">
        <f t="shared" si="3"/>
        <v>0.16940083985052987</v>
      </c>
      <c r="I36" s="14">
        <f ca="1">I35*I$5*(IF(ROW()&gt;9+$F$2,1,$E$2))*IF(ROW()&lt;=J$5, 1-$B$3-SUM(I$10:I35)/$J$2, (1-$B$3-SUM(I$10:INDIRECT("I"&amp;(J$5-1)))/$J$2)*(1-J$6*$D$2)-SUM(INDIRECT("I"&amp;J$5):I35)/$J$2)</f>
        <v>3764.8687903327636</v>
      </c>
      <c r="J36" s="14">
        <f t="shared" ca="1" si="4"/>
        <v>74.219223905604693</v>
      </c>
      <c r="K36" s="14">
        <f ca="1">K35*K$5*(IF(ROW()&gt;9+$F$2,1,$E$2))*IF(ROW()&lt;=L$5, 1-$B$3-SUM(K$10:K35)/$J$2, (1-$B$3-SUM(K$10:INDIRECT("k"&amp;(L$5-1)))/$J$2)*(1-L$6*$D$2)-SUM(INDIRECT("k"&amp;L$5):K35)/$J$2)</f>
        <v>469.21485195701536</v>
      </c>
      <c r="L36" s="14">
        <f t="shared" ca="1" si="5"/>
        <v>9.4920819624665924</v>
      </c>
    </row>
    <row r="37" spans="1:12" ht="10.95" customHeight="1" x14ac:dyDescent="0.3">
      <c r="A37" s="13">
        <f t="shared" si="6"/>
        <v>27</v>
      </c>
      <c r="B37" s="13">
        <f t="shared" si="7"/>
        <v>13.5</v>
      </c>
      <c r="C37" s="14">
        <f>C36*C$5*(IF(ROW()&gt;9+$F$2,1,$E$2))*(1-$B$3-SUM(C$10:C36)/$J$2)</f>
        <v>2748026.0421816446</v>
      </c>
      <c r="D37" s="14">
        <f t="shared" si="1"/>
        <v>29642.214063525909</v>
      </c>
      <c r="E37" s="14">
        <f>E36*E$5*(IF(ROW()&gt;9+$F$2,1,$E$2))*(1-$B$3-SUM(E$10:E36)/$J$2)</f>
        <v>455473.56724288582</v>
      </c>
      <c r="F37" s="14">
        <f t="shared" si="2"/>
        <v>4659.068738124316</v>
      </c>
      <c r="G37" s="14">
        <f>G36*G$5*(IF(ROW()&gt;9+$F$2,1,$E$2))*(1-$B$3-SUM(G$10:G36)/$J$2)</f>
        <v>7.7265561104893132</v>
      </c>
      <c r="H37" s="14">
        <f t="shared" si="3"/>
        <v>0.11440651822164151</v>
      </c>
      <c r="I37" s="14">
        <f ca="1">I36*I$5*(IF(ROW()&gt;9+$F$2,1,$E$2))*IF(ROW()&lt;=J$5, 1-$B$3-SUM(I$10:I36)/$J$2, (1-$B$3-SUM(I$10:INDIRECT("I"&amp;(J$5-1)))/$J$2)*(1-J$6*$D$2)-SUM(INDIRECT("I"&amp;J$5):I36)/$J$2)</f>
        <v>1909.7283523747219</v>
      </c>
      <c r="J37" s="14">
        <f t="shared" ca="1" si="4"/>
        <v>37.648687903327634</v>
      </c>
      <c r="K37" s="14">
        <f ca="1">K36*K$5*(IF(ROW()&gt;9+$F$2,1,$E$2))*IF(ROW()&lt;=L$5, 1-$B$3-SUM(K$10:K36)/$J$2, (1-$B$3-SUM(K$10:INDIRECT("k"&amp;(L$5-1)))/$J$2)*(1-L$6*$D$2)-SUM(INDIRECT("k"&amp;L$5):K36)/$J$2)</f>
        <v>231.9426959502907</v>
      </c>
      <c r="L37" s="14">
        <f t="shared" ca="1" si="5"/>
        <v>4.6921485195701536</v>
      </c>
    </row>
    <row r="38" spans="1:12" ht="10.95" customHeight="1" x14ac:dyDescent="0.3">
      <c r="A38" s="13">
        <f t="shared" si="6"/>
        <v>28</v>
      </c>
      <c r="B38" s="13">
        <f t="shared" si="7"/>
        <v>14</v>
      </c>
      <c r="C38" s="14">
        <f>C37*C$5*(IF(ROW()&gt;9+$F$2,1,$E$2))*(1-$B$3-SUM(C$10:C37)/$J$2)</f>
        <v>2520221.3051738474</v>
      </c>
      <c r="D38" s="14">
        <f t="shared" si="1"/>
        <v>27480.260421816445</v>
      </c>
      <c r="E38" s="14">
        <f>E37*E$5*(IF(ROW()&gt;9+$F$2,1,$E$2))*(1-$B$3-SUM(E$10:E37)/$J$2)</f>
        <v>444609.53824396036</v>
      </c>
      <c r="F38" s="14">
        <f t="shared" si="2"/>
        <v>4554.7356724288584</v>
      </c>
      <c r="G38" s="14">
        <f>G37*G$5*(IF(ROW()&gt;9+$F$2,1,$E$2))*(1-$B$3-SUM(G$10:G37)/$J$2)</f>
        <v>5.2182051173400064</v>
      </c>
      <c r="H38" s="14">
        <f t="shared" si="3"/>
        <v>7.7265561104893132E-2</v>
      </c>
      <c r="I38" s="14">
        <f ca="1">I37*I$5*(IF(ROW()&gt;9+$F$2,1,$E$2))*IF(ROW()&lt;=J$5, 1-$B$3-SUM(I$10:I37)/$J$2, (1-$B$3-SUM(I$10:INDIRECT("I"&amp;(J$5-1)))/$J$2)*(1-J$6*$D$2)-SUM(INDIRECT("I"&amp;J$5):I37)/$J$2)</f>
        <v>968.6958042773216</v>
      </c>
      <c r="J38" s="14">
        <f t="shared" ca="1" si="4"/>
        <v>19.097283523747219</v>
      </c>
      <c r="K38" s="14">
        <f ca="1">K37*K$5*(IF(ROW()&gt;9+$F$2,1,$E$2))*IF(ROW()&lt;=L$5, 1-$B$3-SUM(K$10:K37)/$J$2, (1-$B$3-SUM(K$10:INDIRECT("k"&amp;(L$5-1)))/$J$2)*(1-L$6*$D$2)-SUM(INDIRECT("k"&amp;L$5):K37)/$J$2)</f>
        <v>114.65394401552705</v>
      </c>
      <c r="L38" s="14">
        <f t="shared" ca="1" si="5"/>
        <v>2.3194269595029069</v>
      </c>
    </row>
    <row r="39" spans="1:12" ht="10.95" customHeight="1" x14ac:dyDescent="0.3">
      <c r="A39" s="13">
        <f t="shared" si="6"/>
        <v>29</v>
      </c>
      <c r="B39" s="13">
        <f t="shared" si="7"/>
        <v>14.5</v>
      </c>
      <c r="C39" s="14">
        <f>C38*C$5*(IF(ROW()&gt;9+$F$2,1,$E$2))*(1-$B$3-SUM(C$10:C38)/$J$2)</f>
        <v>2288274.3898937409</v>
      </c>
      <c r="D39" s="14">
        <f t="shared" si="1"/>
        <v>25202.213051738476</v>
      </c>
      <c r="E39" s="14">
        <f>E38*E$5*(IF(ROW()&gt;9+$F$2,1,$E$2))*(1-$B$3-SUM(E$10:E38)/$J$2)</f>
        <v>433371.59359368146</v>
      </c>
      <c r="F39" s="14">
        <f t="shared" si="2"/>
        <v>4446.0953824396038</v>
      </c>
      <c r="G39" s="14">
        <f>G38*G$5*(IF(ROW()&gt;9+$F$2,1,$E$2))*(1-$B$3-SUM(G$10:G38)/$J$2)</f>
        <v>3.5241657230354644</v>
      </c>
      <c r="H39" s="14">
        <f t="shared" si="3"/>
        <v>5.2182051173400065E-2</v>
      </c>
      <c r="I39" s="14">
        <f ca="1">I38*I$5*(IF(ROW()&gt;9+$F$2,1,$E$2))*IF(ROW()&lt;=J$5, 1-$B$3-SUM(I$10:I38)/$J$2, (1-$B$3-SUM(I$10:INDIRECT("I"&amp;(J$5-1)))/$J$2)*(1-J$6*$D$2)-SUM(INDIRECT("I"&amp;J$5):I38)/$J$2)</f>
        <v>491.36049284435188</v>
      </c>
      <c r="J39" s="14">
        <f t="shared" ca="1" si="4"/>
        <v>9.6869580427732167</v>
      </c>
      <c r="K39" s="14">
        <f ca="1">K38*K$5*(IF(ROW()&gt;9+$F$2,1,$E$2))*IF(ROW()&lt;=L$5, 1-$B$3-SUM(K$10:K38)/$J$2, (1-$B$3-SUM(K$10:INDIRECT("k"&amp;(L$5-1)))/$J$2)*(1-L$6*$D$2)-SUM(INDIRECT("k"&amp;L$5):K38)/$J$2)</f>
        <v>56.675710611448146</v>
      </c>
      <c r="L39" s="14">
        <f t="shared" ca="1" si="5"/>
        <v>1.1465394401552704</v>
      </c>
    </row>
    <row r="40" spans="1:12" ht="10.95" customHeight="1" x14ac:dyDescent="0.3">
      <c r="A40" s="13">
        <f t="shared" si="6"/>
        <v>30</v>
      </c>
      <c r="B40" s="13">
        <f t="shared" si="7"/>
        <v>15</v>
      </c>
      <c r="C40" s="14">
        <f>C39*C$5*(IF(ROW()&gt;9+$F$2,1,$E$2))*(1-$B$3-SUM(C$10:C39)/$J$2)</f>
        <v>2058691.3556015776</v>
      </c>
      <c r="D40" s="14">
        <f t="shared" si="1"/>
        <v>22882.74389893741</v>
      </c>
      <c r="E40" s="14">
        <f>E39*E$5*(IF(ROW()&gt;9+$F$2,1,$E$2))*(1-$B$3-SUM(E$10:E39)/$J$2)</f>
        <v>421816.25015401107</v>
      </c>
      <c r="F40" s="14">
        <f t="shared" si="2"/>
        <v>4333.7159359368143</v>
      </c>
      <c r="G40" s="14">
        <f>G39*G$5*(IF(ROW()&gt;9+$F$2,1,$E$2))*(1-$B$3-SUM(G$10:G39)/$J$2)</f>
        <v>2.3800796685990084</v>
      </c>
      <c r="H40" s="14">
        <f t="shared" si="3"/>
        <v>3.5241657230354648E-2</v>
      </c>
      <c r="I40" s="14">
        <f ca="1">I39*I$5*(IF(ROW()&gt;9+$F$2,1,$E$2))*IF(ROW()&lt;=J$5, 1-$B$3-SUM(I$10:I39)/$J$2, (1-$B$3-SUM(I$10:INDIRECT("I"&amp;(J$5-1)))/$J$2)*(1-J$6*$D$2)-SUM(INDIRECT("I"&amp;J$5):I39)/$J$2)</f>
        <v>249.23643208631989</v>
      </c>
      <c r="J40" s="14">
        <f t="shared" ca="1" si="4"/>
        <v>4.9136049284435188</v>
      </c>
      <c r="K40" s="14">
        <f ca="1">K39*K$5*(IF(ROW()&gt;9+$F$2,1,$E$2))*IF(ROW()&lt;=L$5, 1-$B$3-SUM(K$10:K39)/$J$2, (1-$B$3-SUM(K$10:INDIRECT("k"&amp;(L$5-1)))/$J$2)*(1-L$6*$D$2)-SUM(INDIRECT("k"&amp;L$5):K39)/$J$2)</f>
        <v>28.015913639032256</v>
      </c>
      <c r="L40" s="14">
        <f t="shared" ca="1" si="5"/>
        <v>0.56675710611448149</v>
      </c>
    </row>
    <row r="41" spans="1:12" ht="10.95" customHeight="1" x14ac:dyDescent="0.3">
      <c r="A41" s="13">
        <f t="shared" si="6"/>
        <v>31</v>
      </c>
      <c r="B41" s="13">
        <f t="shared" si="7"/>
        <v>15.5</v>
      </c>
      <c r="C41" s="14">
        <f>C40*C$5*(IF(ROW()&gt;9+$F$2,1,$E$2))*(1-$B$3-SUM(C$10:C40)/$J$2)</f>
        <v>1836777.3216324046</v>
      </c>
      <c r="D41" s="14">
        <f t="shared" si="1"/>
        <v>20586.913556015777</v>
      </c>
      <c r="E41" s="14">
        <f>E40*E$5*(IF(ROW()&gt;9+$F$2,1,$E$2))*(1-$B$3-SUM(E$10:E40)/$J$2)</f>
        <v>409999.21366963349</v>
      </c>
      <c r="F41" s="14">
        <f t="shared" si="2"/>
        <v>4218.1625015401105</v>
      </c>
      <c r="G41" s="14">
        <f>G40*G$5*(IF(ROW()&gt;9+$F$2,1,$E$2))*(1-$B$3-SUM(G$10:G40)/$J$2)</f>
        <v>1.6074099891590774</v>
      </c>
      <c r="H41" s="14">
        <f t="shared" si="3"/>
        <v>2.3800796685990083E-2</v>
      </c>
      <c r="I41" s="14">
        <f ca="1">I40*I$5*(IF(ROW()&gt;9+$F$2,1,$E$2))*IF(ROW()&lt;=J$5, 1-$B$3-SUM(I$10:I40)/$J$2, (1-$B$3-SUM(I$10:INDIRECT("I"&amp;(J$5-1)))/$J$2)*(1-J$6*$D$2)-SUM(INDIRECT("I"&amp;J$5):I40)/$J$2)</f>
        <v>126.4218213050267</v>
      </c>
      <c r="J41" s="14">
        <f t="shared" ca="1" si="4"/>
        <v>2.4923643208631989</v>
      </c>
      <c r="K41" s="14">
        <f ca="1">K40*K$5*(IF(ROW()&gt;9+$F$2,1,$E$2))*IF(ROW()&lt;=L$5, 1-$B$3-SUM(K$10:K40)/$J$2, (1-$B$3-SUM(K$10:INDIRECT("k"&amp;(L$5-1)))/$J$2)*(1-L$6*$D$2)-SUM(INDIRECT("k"&amp;L$5):K40)/$J$2)</f>
        <v>13.848812235518107</v>
      </c>
      <c r="L41" s="14">
        <f t="shared" ca="1" si="5"/>
        <v>0.28015913639032258</v>
      </c>
    </row>
    <row r="42" spans="1:12" ht="10.95" customHeight="1" x14ac:dyDescent="0.3">
      <c r="A42" s="13">
        <f t="shared" si="6"/>
        <v>32</v>
      </c>
      <c r="B42" s="13">
        <f t="shared" si="7"/>
        <v>16</v>
      </c>
      <c r="C42" s="14">
        <f>C41*C$5*(IF(ROW()&gt;9+$F$2,1,$E$2))*(1-$B$3-SUM(C$10:C41)/$J$2)</f>
        <v>1626553.1094212127</v>
      </c>
      <c r="D42" s="14">
        <f t="shared" si="1"/>
        <v>18367.773216324047</v>
      </c>
      <c r="E42" s="14">
        <f>E41*E$5*(IF(ROW()&gt;9+$F$2,1,$E$2))*(1-$B$3-SUM(E$10:E41)/$J$2)</f>
        <v>397974.90315974579</v>
      </c>
      <c r="F42" s="14">
        <f t="shared" si="2"/>
        <v>4099.9921366963354</v>
      </c>
      <c r="G42" s="14">
        <f>G41*G$5*(IF(ROW()&gt;9+$F$2,1,$E$2))*(1-$B$3-SUM(G$10:G41)/$J$2)</f>
        <v>1.0855799889102613</v>
      </c>
      <c r="H42" s="14">
        <f t="shared" si="3"/>
        <v>1.6074099891590775E-2</v>
      </c>
      <c r="I42" s="14">
        <f ca="1">I41*I$5*(IF(ROW()&gt;9+$F$2,1,$E$2))*IF(ROW()&lt;=J$5, 1-$B$3-SUM(I$10:I41)/$J$2, (1-$B$3-SUM(I$10:INDIRECT("I"&amp;(J$5-1)))/$J$2)*(1-J$6*$D$2)-SUM(INDIRECT("I"&amp;J$5):I41)/$J$2)</f>
        <v>64.125707172534121</v>
      </c>
      <c r="J42" s="14">
        <f t="shared" ca="1" si="4"/>
        <v>1.264218213050267</v>
      </c>
      <c r="K42" s="14">
        <f ca="1">K41*K$5*(IF(ROW()&gt;9+$F$2,1,$E$2))*IF(ROW()&lt;=L$5, 1-$B$3-SUM(K$10:K41)/$J$2, (1-$B$3-SUM(K$10:INDIRECT("k"&amp;(L$5-1)))/$J$2)*(1-L$6*$D$2)-SUM(INDIRECT("k"&amp;L$5):K41)/$J$2)</f>
        <v>6.845737233439003</v>
      </c>
      <c r="L42" s="14">
        <f t="shared" ca="1" si="5"/>
        <v>0.13848812235518107</v>
      </c>
    </row>
    <row r="43" spans="1:12" ht="10.95" customHeight="1" x14ac:dyDescent="0.3">
      <c r="A43" s="13">
        <f t="shared" si="6"/>
        <v>33</v>
      </c>
      <c r="B43" s="13">
        <f t="shared" si="7"/>
        <v>16.5</v>
      </c>
      <c r="C43" s="14">
        <f>C42*C$5*(IF(ROW()&gt;9+$F$2,1,$E$2))*(1-$B$3-SUM(C$10:C42)/$J$2)</f>
        <v>1430798.0649650989</v>
      </c>
      <c r="D43" s="14">
        <f t="shared" si="1"/>
        <v>16265.531094212127</v>
      </c>
      <c r="E43" s="14">
        <f>E42*E$5*(IF(ROW()&gt;9+$F$2,1,$E$2))*(1-$B$3-SUM(E$10:E42)/$J$2)</f>
        <v>385796.02565747657</v>
      </c>
      <c r="F43" s="14">
        <f t="shared" si="2"/>
        <v>3979.7490315974578</v>
      </c>
      <c r="G43" s="14">
        <f>G42*G$5*(IF(ROW()&gt;9+$F$2,1,$E$2))*(1-$B$3-SUM(G$10:G42)/$J$2)</f>
        <v>0.73315701424304613</v>
      </c>
      <c r="H43" s="14">
        <f t="shared" si="3"/>
        <v>1.0855799889102614E-2</v>
      </c>
      <c r="I43" s="14">
        <f ca="1">I42*I$5*(IF(ROW()&gt;9+$F$2,1,$E$2))*IF(ROW()&lt;=J$5, 1-$B$3-SUM(I$10:I42)/$J$2, (1-$B$3-SUM(I$10:INDIRECT("I"&amp;(J$5-1)))/$J$2)*(1-J$6*$D$2)-SUM(INDIRECT("I"&amp;J$5):I42)/$J$2)</f>
        <v>32.526856465446102</v>
      </c>
      <c r="J43" s="14">
        <f t="shared" ca="1" si="4"/>
        <v>0.64125707172534119</v>
      </c>
      <c r="K43" s="14">
        <f ca="1">K42*K$5*(IF(ROW()&gt;9+$F$2,1,$E$2))*IF(ROW()&lt;=L$5, 1-$B$3-SUM(K$10:K42)/$J$2, (1-$B$3-SUM(K$10:INDIRECT("k"&amp;(L$5-1)))/$J$2)*(1-L$6*$D$2)-SUM(INDIRECT("k"&amp;L$5):K42)/$J$2)</f>
        <v>3.3839809070912445</v>
      </c>
      <c r="L43" s="14">
        <f t="shared" ca="1" si="5"/>
        <v>6.8457372334390032E-2</v>
      </c>
    </row>
    <row r="44" spans="1:12" ht="10.95" customHeight="1" x14ac:dyDescent="0.3">
      <c r="A44" s="13">
        <f t="shared" si="6"/>
        <v>34</v>
      </c>
      <c r="B44" s="13">
        <f t="shared" si="7"/>
        <v>17</v>
      </c>
      <c r="C44" s="14">
        <f>C43*C$5*(IF(ROW()&gt;9+$F$2,1,$E$2))*(1-$B$3-SUM(C$10:C43)/$J$2)</f>
        <v>1251180.2533674799</v>
      </c>
      <c r="D44" s="14">
        <f t="shared" si="1"/>
        <v>14307.980649650988</v>
      </c>
      <c r="E44" s="14">
        <f>E43*E$5*(IF(ROW()&gt;9+$F$2,1,$E$2))*(1-$B$3-SUM(E$10:E43)/$J$2)</f>
        <v>373513.20451420679</v>
      </c>
      <c r="F44" s="14">
        <f t="shared" si="2"/>
        <v>3857.9602565747659</v>
      </c>
      <c r="G44" s="14">
        <f>G43*G$5*(IF(ROW()&gt;9+$F$2,1,$E$2))*(1-$B$3-SUM(G$10:G43)/$J$2)</f>
        <v>0.49514472612868088</v>
      </c>
      <c r="H44" s="14">
        <f t="shared" si="3"/>
        <v>7.3315701424304614E-3</v>
      </c>
      <c r="I44" s="14">
        <f ca="1">I43*I$5*(IF(ROW()&gt;9+$F$2,1,$E$2))*IF(ROW()&lt;=J$5, 1-$B$3-SUM(I$10:I43)/$J$2, (1-$B$3-SUM(I$10:INDIRECT("I"&amp;(J$5-1)))/$J$2)*(1-J$6*$D$2)-SUM(INDIRECT("I"&amp;J$5):I43)/$J$2)</f>
        <v>16.498783283812045</v>
      </c>
      <c r="J44" s="14">
        <f t="shared" ca="1" si="4"/>
        <v>0.32526856465446102</v>
      </c>
      <c r="K44" s="14">
        <f ca="1">K43*K$5*(IF(ROW()&gt;9+$F$2,1,$E$2))*IF(ROW()&lt;=L$5, 1-$B$3-SUM(K$10:K43)/$J$2, (1-$B$3-SUM(K$10:INDIRECT("k"&amp;(L$5-1)))/$J$2)*(1-L$6*$D$2)-SUM(INDIRECT("k"&amp;L$5):K43)/$J$2)</f>
        <v>1.6727674665302752</v>
      </c>
      <c r="L44" s="14">
        <f t="shared" ca="1" si="5"/>
        <v>3.3839809070912448E-2</v>
      </c>
    </row>
    <row r="45" spans="1:12" ht="10.95" customHeight="1" x14ac:dyDescent="0.3">
      <c r="A45" s="13">
        <f t="shared" si="6"/>
        <v>35</v>
      </c>
      <c r="B45" s="13">
        <f t="shared" si="7"/>
        <v>17.5</v>
      </c>
      <c r="C45" s="14">
        <f>C44*C$5*(IF(ROW()&gt;9+$F$2,1,$E$2))*(1-$B$3-SUM(C$10:C44)/$J$2)</f>
        <v>1088435.7324173199</v>
      </c>
      <c r="D45" s="14">
        <f t="shared" si="1"/>
        <v>12511.8025336748</v>
      </c>
      <c r="E45" s="14">
        <f>E44*E$5*(IF(ROW()&gt;9+$F$2,1,$E$2))*(1-$B$3-SUM(E$10:E44)/$J$2)</f>
        <v>361174.66301417816</v>
      </c>
      <c r="F45" s="14">
        <f t="shared" si="2"/>
        <v>3735.1320451420679</v>
      </c>
      <c r="G45" s="14">
        <f>G44*G$5*(IF(ROW()&gt;9+$F$2,1,$E$2))*(1-$B$3-SUM(G$10:G44)/$J$2)</f>
        <v>0.33440081001754179</v>
      </c>
      <c r="H45" s="14">
        <f t="shared" si="3"/>
        <v>4.9514472612868085E-3</v>
      </c>
      <c r="I45" s="14">
        <f ca="1">I44*I$5*(IF(ROW()&gt;9+$F$2,1,$E$2))*IF(ROW()&lt;=J$5, 1-$B$3-SUM(I$10:I44)/$J$2, (1-$B$3-SUM(I$10:INDIRECT("I"&amp;(J$5-1)))/$J$2)*(1-J$6*$D$2)-SUM(INDIRECT("I"&amp;J$5):I44)/$J$2)</f>
        <v>8.3687711425726583</v>
      </c>
      <c r="J45" s="14">
        <f t="shared" ca="1" si="4"/>
        <v>0.16498783283812046</v>
      </c>
      <c r="K45" s="14">
        <f ca="1">K44*K$5*(IF(ROW()&gt;9+$F$2,1,$E$2))*IF(ROW()&lt;=L$5, 1-$B$3-SUM(K$10:K44)/$J$2, (1-$B$3-SUM(K$10:INDIRECT("k"&amp;(L$5-1)))/$J$2)*(1-L$6*$D$2)-SUM(INDIRECT("k"&amp;L$5):K44)/$J$2)</f>
        <v>0.82688142858464853</v>
      </c>
      <c r="L45" s="14">
        <f t="shared" ca="1" si="5"/>
        <v>1.6727674665302752E-2</v>
      </c>
    </row>
    <row r="46" spans="1:12" ht="10.95" customHeight="1" x14ac:dyDescent="0.3">
      <c r="A46" s="13">
        <f t="shared" si="6"/>
        <v>36</v>
      </c>
      <c r="B46" s="13">
        <f t="shared" si="7"/>
        <v>18</v>
      </c>
      <c r="C46" s="14">
        <f>C45*C$5*(IF(ROW()&gt;9+$F$2,1,$E$2))*(1-$B$3-SUM(C$10:C45)/$J$2)</f>
        <v>942564.8901267217</v>
      </c>
      <c r="D46" s="14">
        <f t="shared" si="1"/>
        <v>10884.357324173199</v>
      </c>
      <c r="E46" s="14">
        <f>E45*E$5*(IF(ROW()&gt;9+$F$2,1,$E$2))*(1-$B$3-SUM(E$10:E45)/$J$2)</f>
        <v>348825.96367972792</v>
      </c>
      <c r="F46" s="14">
        <f t="shared" si="2"/>
        <v>3611.7466301417817</v>
      </c>
      <c r="G46" s="14">
        <f>G45*G$5*(IF(ROW()&gt;9+$F$2,1,$E$2))*(1-$B$3-SUM(G$10:G45)/$J$2)</f>
        <v>0.22584084152040851</v>
      </c>
      <c r="H46" s="14">
        <f t="shared" si="3"/>
        <v>3.3440081001754182E-3</v>
      </c>
      <c r="I46" s="14">
        <f ca="1">I45*I$5*(IF(ROW()&gt;9+$F$2,1,$E$2))*IF(ROW()&lt;=J$5, 1-$B$3-SUM(I$10:I45)/$J$2, (1-$B$3-SUM(I$10:INDIRECT("I"&amp;(J$5-1)))/$J$2)*(1-J$6*$D$2)-SUM(INDIRECT("I"&amp;J$5):I45)/$J$2)</f>
        <v>4.2449388565700037</v>
      </c>
      <c r="J46" s="14">
        <f t="shared" ca="1" si="4"/>
        <v>8.3687711425726591E-2</v>
      </c>
      <c r="K46" s="14">
        <f ca="1">K45*K$5*(IF(ROW()&gt;9+$F$2,1,$E$2))*IF(ROW()&lt;=L$5, 1-$B$3-SUM(K$10:K45)/$J$2, (1-$B$3-SUM(K$10:INDIRECT("k"&amp;(L$5-1)))/$J$2)*(1-L$6*$D$2)-SUM(INDIRECT("k"&amp;L$5):K45)/$J$2)</f>
        <v>0.40874353845112066</v>
      </c>
      <c r="L46" s="14">
        <f t="shared" ca="1" si="5"/>
        <v>8.2688142858464847E-3</v>
      </c>
    </row>
    <row r="47" spans="1:12" ht="10.95" customHeight="1" x14ac:dyDescent="0.3">
      <c r="A47" s="13">
        <f t="shared" si="6"/>
        <v>37</v>
      </c>
      <c r="B47" s="13">
        <f t="shared" si="7"/>
        <v>18.5</v>
      </c>
      <c r="C47" s="14">
        <f>C46*C$5*(IF(ROW()&gt;9+$F$2,1,$E$2))*(1-$B$3-SUM(C$10:C46)/$J$2)</f>
        <v>813022.59285995713</v>
      </c>
      <c r="D47" s="14">
        <f t="shared" si="1"/>
        <v>9425.6489012672173</v>
      </c>
      <c r="E47" s="14">
        <f>E46*E$5*(IF(ROW()&gt;9+$F$2,1,$E$2))*(1-$B$3-SUM(E$10:E46)/$J$2)</f>
        <v>336509.80242137139</v>
      </c>
      <c r="F47" s="14">
        <f t="shared" si="2"/>
        <v>3488.2596367972792</v>
      </c>
      <c r="G47" s="14">
        <f>G46*G$5*(IF(ROW()&gt;9+$F$2,1,$E$2))*(1-$B$3-SUM(G$10:G46)/$J$2)</f>
        <v>0.15252381015435054</v>
      </c>
      <c r="H47" s="14">
        <f t="shared" si="3"/>
        <v>2.258408415204085E-3</v>
      </c>
      <c r="I47" s="14">
        <f ca="1">I46*I$5*(IF(ROW()&gt;9+$F$2,1,$E$2))*IF(ROW()&lt;=J$5, 1-$B$3-SUM(I$10:I46)/$J$2, (1-$B$3-SUM(I$10:INDIRECT("I"&amp;(J$5-1)))/$J$2)*(1-J$6*$D$2)-SUM(INDIRECT("I"&amp;J$5):I46)/$J$2)</f>
        <v>2.1531841464322121</v>
      </c>
      <c r="J47" s="14">
        <f t="shared" ca="1" si="4"/>
        <v>4.244938856570004E-2</v>
      </c>
      <c r="K47" s="14">
        <f ca="1">K46*K$5*(IF(ROW()&gt;9+$F$2,1,$E$2))*IF(ROW()&lt;=L$5, 1-$B$3-SUM(K$10:K46)/$J$2, (1-$B$3-SUM(K$10:INDIRECT("k"&amp;(L$5-1)))/$J$2)*(1-L$6*$D$2)-SUM(INDIRECT("k"&amp;L$5):K46)/$J$2)</f>
        <v>0.20204986350837073</v>
      </c>
      <c r="L47" s="14">
        <f t="shared" ca="1" si="5"/>
        <v>4.0874353845112062E-3</v>
      </c>
    </row>
    <row r="48" spans="1:12" ht="10.95" customHeight="1" x14ac:dyDescent="0.3">
      <c r="A48" s="13">
        <f t="shared" si="6"/>
        <v>38</v>
      </c>
      <c r="B48" s="13">
        <f t="shared" si="7"/>
        <v>19</v>
      </c>
      <c r="C48" s="14">
        <f>C47*C$5*(IF(ROW()&gt;9+$F$2,1,$E$2))*(1-$B$3-SUM(C$10:C47)/$J$2)</f>
        <v>698887.66833552963</v>
      </c>
      <c r="D48" s="14">
        <f t="shared" si="1"/>
        <v>8130.2259285995715</v>
      </c>
      <c r="E48" s="14">
        <f>E47*E$5*(IF(ROW()&gt;9+$F$2,1,$E$2))*(1-$B$3-SUM(E$10:E47)/$J$2)</f>
        <v>324265.8556223645</v>
      </c>
      <c r="F48" s="14">
        <f t="shared" si="2"/>
        <v>3365.0980242137139</v>
      </c>
      <c r="G48" s="14">
        <f>G47*G$5*(IF(ROW()&gt;9+$F$2,1,$E$2))*(1-$B$3-SUM(G$10:G47)/$J$2)</f>
        <v>0.10300843946681475</v>
      </c>
      <c r="H48" s="14">
        <f t="shared" si="3"/>
        <v>1.5252381015435055E-3</v>
      </c>
      <c r="I48" s="14">
        <f ca="1">I47*I$5*(IF(ROW()&gt;9+$F$2,1,$E$2))*IF(ROW()&lt;=J$5, 1-$B$3-SUM(I$10:I47)/$J$2, (1-$B$3-SUM(I$10:INDIRECT("I"&amp;(J$5-1)))/$J$2)*(1-J$6*$D$2)-SUM(INDIRECT("I"&amp;J$5):I47)/$J$2)</f>
        <v>1.0921716551753349</v>
      </c>
      <c r="J48" s="14">
        <f t="shared" ca="1" si="4"/>
        <v>2.1531841464322122E-2</v>
      </c>
      <c r="K48" s="14">
        <f ca="1">K47*K$5*(IF(ROW()&gt;9+$F$2,1,$E$2))*IF(ROW()&lt;=L$5, 1-$B$3-SUM(K$10:K47)/$J$2, (1-$B$3-SUM(K$10:INDIRECT("k"&amp;(L$5-1)))/$J$2)*(1-L$6*$D$2)-SUM(INDIRECT("k"&amp;L$5):K47)/$J$2)</f>
        <v>9.987716856641074E-2</v>
      </c>
      <c r="L48" s="14">
        <f t="shared" ca="1" si="5"/>
        <v>2.0204986350837073E-3</v>
      </c>
    </row>
    <row r="49" spans="1:12" ht="10.95" customHeight="1" x14ac:dyDescent="0.3">
      <c r="A49" s="13">
        <f t="shared" si="6"/>
        <v>39</v>
      </c>
      <c r="B49" s="13">
        <f t="shared" si="7"/>
        <v>19.5</v>
      </c>
      <c r="C49" s="14">
        <f>C48*C$5*(IF(ROW()&gt;9+$F$2,1,$E$2))*(1-$B$3-SUM(C$10:C48)/$J$2)</f>
        <v>599004.60554627201</v>
      </c>
      <c r="D49" s="14">
        <f t="shared" si="1"/>
        <v>6988.8766833552963</v>
      </c>
      <c r="E49" s="14">
        <f>E48*E$5*(IF(ROW()&gt;9+$F$2,1,$E$2))*(1-$B$3-SUM(E$10:E48)/$J$2)</f>
        <v>312130.67735773377</v>
      </c>
      <c r="F49" s="14">
        <f t="shared" si="2"/>
        <v>3242.6585562236451</v>
      </c>
      <c r="G49" s="14">
        <f>G48*G$5*(IF(ROW()&gt;9+$F$2,1,$E$2))*(1-$B$3-SUM(G$10:G48)/$J$2)</f>
        <v>6.9567751993790602E-2</v>
      </c>
      <c r="H49" s="14">
        <f t="shared" si="3"/>
        <v>1.0300843946681475E-3</v>
      </c>
      <c r="I49" s="14">
        <f ca="1">I48*I$5*(IF(ROW()&gt;9+$F$2,1,$E$2))*IF(ROW()&lt;=J$5, 1-$B$3-SUM(I$10:I48)/$J$2, (1-$B$3-SUM(I$10:INDIRECT("I"&amp;(J$5-1)))/$J$2)*(1-J$6*$D$2)-SUM(INDIRECT("I"&amp;J$5):I48)/$J$2)</f>
        <v>0.55398834188590729</v>
      </c>
      <c r="J49" s="14">
        <f t="shared" ca="1" si="4"/>
        <v>1.0921716551753349E-2</v>
      </c>
      <c r="K49" s="14">
        <f ca="1">K48*K$5*(IF(ROW()&gt;9+$F$2,1,$E$2))*IF(ROW()&lt;=L$5, 1-$B$3-SUM(K$10:K48)/$J$2, (1-$B$3-SUM(K$10:INDIRECT("k"&amp;(L$5-1)))/$J$2)*(1-L$6*$D$2)-SUM(INDIRECT("k"&amp;L$5):K48)/$J$2)</f>
        <v>4.9371222633740407E-2</v>
      </c>
      <c r="L49" s="14">
        <f t="shared" ca="1" si="5"/>
        <v>9.9877168566410738E-4</v>
      </c>
    </row>
    <row r="50" spans="1:12" ht="10.95" customHeight="1" x14ac:dyDescent="0.3">
      <c r="A50" s="13">
        <f t="shared" si="6"/>
        <v>40</v>
      </c>
      <c r="B50" s="13">
        <f t="shared" si="7"/>
        <v>20</v>
      </c>
      <c r="C50" s="14">
        <f>C49*C$5*(IF(ROW()&gt;9+$F$2,1,$E$2))*(1-$B$3-SUM(C$10:C49)/$J$2)</f>
        <v>512095.74045062158</v>
      </c>
      <c r="D50" s="14">
        <f t="shared" si="1"/>
        <v>5990.0460554627198</v>
      </c>
      <c r="E50" s="14">
        <f>E49*E$5*(IF(ROW()&gt;9+$F$2,1,$E$2))*(1-$B$3-SUM(E$10:E49)/$J$2)</f>
        <v>300137.64323804562</v>
      </c>
      <c r="F50" s="14">
        <f t="shared" si="2"/>
        <v>3121.3067735773379</v>
      </c>
      <c r="G50" s="14">
        <f>G49*G$5*(IF(ROW()&gt;9+$F$2,1,$E$2))*(1-$B$3-SUM(G$10:G49)/$J$2)</f>
        <v>4.6983258279283235E-2</v>
      </c>
      <c r="H50" s="14">
        <f t="shared" si="3"/>
        <v>6.95677519937906E-4</v>
      </c>
      <c r="I50" s="14">
        <f ca="1">I49*I$5*(IF(ROW()&gt;9+$F$2,1,$E$2))*IF(ROW()&lt;=J$5, 1-$B$3-SUM(I$10:I49)/$J$2, (1-$B$3-SUM(I$10:INDIRECT("I"&amp;(J$5-1)))/$J$2)*(1-J$6*$D$2)-SUM(INDIRECT("I"&amp;J$5):I49)/$J$2)</f>
        <v>0.28100260639069041</v>
      </c>
      <c r="J50" s="14">
        <f t="shared" ca="1" si="4"/>
        <v>5.5398834188590731E-3</v>
      </c>
      <c r="K50" s="14">
        <f ca="1">K49*K$5*(IF(ROW()&gt;9+$F$2,1,$E$2))*IF(ROW()&lt;=L$5, 1-$B$3-SUM(K$10:K49)/$J$2, (1-$B$3-SUM(K$10:INDIRECT("k"&amp;(L$5-1)))/$J$2)*(1-L$6*$D$2)-SUM(INDIRECT("k"&amp;L$5):K49)/$J$2)</f>
        <v>2.4405153435541782E-2</v>
      </c>
      <c r="L50" s="14">
        <f t="shared" ca="1" si="5"/>
        <v>4.9371222633740411E-4</v>
      </c>
    </row>
    <row r="51" spans="1:12" ht="10.95" customHeight="1" x14ac:dyDescent="0.3">
      <c r="A51" s="13">
        <f t="shared" si="6"/>
        <v>41</v>
      </c>
      <c r="B51" s="13">
        <f t="shared" si="7"/>
        <v>20.5</v>
      </c>
      <c r="C51" s="14">
        <f>C50*C$5*(IF(ROW()&gt;9+$F$2,1,$E$2))*(1-$B$3-SUM(C$10:C50)/$J$2)</f>
        <v>436845.65266973746</v>
      </c>
      <c r="D51" s="14">
        <f t="shared" si="1"/>
        <v>5120.9574045062163</v>
      </c>
      <c r="E51" s="14">
        <f>E50*E$5*(IF(ROW()&gt;9+$F$2,1,$E$2))*(1-$B$3-SUM(E$10:E50)/$J$2)</f>
        <v>288316.93683602213</v>
      </c>
      <c r="F51" s="14">
        <f t="shared" si="2"/>
        <v>3001.3764323804562</v>
      </c>
      <c r="G51" s="14">
        <f>G50*G$5*(IF(ROW()&gt;9+$F$2,1,$E$2))*(1-$B$3-SUM(G$10:G50)/$J$2)</f>
        <v>3.1730600672709726E-2</v>
      </c>
      <c r="H51" s="14">
        <f t="shared" si="3"/>
        <v>4.6983258279283238E-4</v>
      </c>
      <c r="I51" s="14">
        <f ca="1">I50*I$5*(IF(ROW()&gt;9+$F$2,1,$E$2))*IF(ROW()&lt;=J$5, 1-$B$3-SUM(I$10:I50)/$J$2, (1-$B$3-SUM(I$10:INDIRECT("I"&amp;(J$5-1)))/$J$2)*(1-J$6*$D$2)-SUM(INDIRECT("I"&amp;J$5):I50)/$J$2)</f>
        <v>0.14253452404966652</v>
      </c>
      <c r="J51" s="14">
        <f t="shared" ca="1" si="4"/>
        <v>2.8100260639069043E-3</v>
      </c>
      <c r="K51" s="14">
        <f ca="1">K50*K$5*(IF(ROW()&gt;9+$F$2,1,$E$2))*IF(ROW()&lt;=L$5, 1-$B$3-SUM(K$10:K50)/$J$2, (1-$B$3-SUM(K$10:INDIRECT("k"&amp;(L$5-1)))/$J$2)*(1-L$6*$D$2)-SUM(INDIRECT("k"&amp;L$5):K50)/$J$2)</f>
        <v>1.2063940942615509E-2</v>
      </c>
      <c r="L51" s="14">
        <f t="shared" ca="1" si="5"/>
        <v>2.4405153435541784E-4</v>
      </c>
    </row>
    <row r="52" spans="1:12" ht="10.95" customHeight="1" x14ac:dyDescent="0.3">
      <c r="A52" s="13">
        <f t="shared" si="6"/>
        <v>42</v>
      </c>
      <c r="B52" s="13">
        <f t="shared" si="7"/>
        <v>21</v>
      </c>
      <c r="C52" s="14">
        <f>C51*C$5*(IF(ROW()&gt;9+$F$2,1,$E$2))*(1-$B$3-SUM(C$10:C51)/$J$2)</f>
        <v>371961.36960277898</v>
      </c>
      <c r="D52" s="14">
        <f t="shared" si="1"/>
        <v>4368.456526697375</v>
      </c>
      <c r="E52" s="14">
        <f>E51*E$5*(IF(ROW()&gt;9+$F$2,1,$E$2))*(1-$B$3-SUM(E$10:E51)/$J$2)</f>
        <v>276695.57429098611</v>
      </c>
      <c r="F52" s="14">
        <f t="shared" si="2"/>
        <v>2883.1693683602211</v>
      </c>
      <c r="G52" s="14">
        <f>G51*G$5*(IF(ROW()&gt;9+$F$2,1,$E$2))*(1-$B$3-SUM(G$10:G51)/$J$2)</f>
        <v>2.1429569932464202E-2</v>
      </c>
      <c r="H52" s="14">
        <f t="shared" si="3"/>
        <v>3.1730600672709729E-4</v>
      </c>
      <c r="I52" s="14">
        <f ca="1">I51*I$5*(IF(ROW()&gt;9+$F$2,1,$E$2))*IF(ROW()&lt;=J$5, 1-$B$3-SUM(I$10:I51)/$J$2, (1-$B$3-SUM(I$10:INDIRECT("I"&amp;(J$5-1)))/$J$2)*(1-J$6*$D$2)-SUM(INDIRECT("I"&amp;J$5):I51)/$J$2)</f>
        <v>7.2298583939544581E-2</v>
      </c>
      <c r="J52" s="14">
        <f t="shared" ca="1" si="4"/>
        <v>1.4253452404966653E-3</v>
      </c>
      <c r="K52" s="14">
        <f ca="1">K51*K$5*(IF(ROW()&gt;9+$F$2,1,$E$2))*IF(ROW()&lt;=L$5, 1-$B$3-SUM(K$10:K51)/$J$2, (1-$B$3-SUM(K$10:INDIRECT("k"&amp;(L$5-1)))/$J$2)*(1-L$6*$D$2)-SUM(INDIRECT("k"&amp;L$5):K51)/$J$2)</f>
        <v>5.9634401168561736E-3</v>
      </c>
      <c r="L52" s="14">
        <f t="shared" ca="1" si="5"/>
        <v>1.2063940942615508E-4</v>
      </c>
    </row>
    <row r="53" spans="1:12" ht="10.95" customHeight="1" x14ac:dyDescent="0.3">
      <c r="A53" s="13">
        <f t="shared" si="6"/>
        <v>43</v>
      </c>
      <c r="B53" s="13">
        <f t="shared" si="7"/>
        <v>21.5</v>
      </c>
      <c r="C53" s="14">
        <f>C52*C$5*(IF(ROW()&gt;9+$F$2,1,$E$2))*(1-$B$3-SUM(C$10:C52)/$J$2)</f>
        <v>316212.69936385425</v>
      </c>
      <c r="D53" s="14">
        <f t="shared" si="1"/>
        <v>3719.61369602779</v>
      </c>
      <c r="E53" s="14">
        <f>E52*E$5*(IF(ROW()&gt;9+$F$2,1,$E$2))*(1-$B$3-SUM(E$10:E52)/$J$2)</f>
        <v>265297.46247876517</v>
      </c>
      <c r="F53" s="14">
        <f t="shared" si="2"/>
        <v>2766.9557429098613</v>
      </c>
      <c r="G53" s="14">
        <f>G52*G$5*(IF(ROW()&gt;9+$F$2,1,$E$2))*(1-$B$3-SUM(G$10:G52)/$J$2)</f>
        <v>1.4472668582493015E-2</v>
      </c>
      <c r="H53" s="14">
        <f t="shared" si="3"/>
        <v>2.1429569932464201E-4</v>
      </c>
      <c r="I53" s="14">
        <f ca="1">I52*I$5*(IF(ROW()&gt;9+$F$2,1,$E$2))*IF(ROW()&lt;=J$5, 1-$B$3-SUM(I$10:I52)/$J$2, (1-$B$3-SUM(I$10:INDIRECT("I"&amp;(J$5-1)))/$J$2)*(1-J$6*$D$2)-SUM(INDIRECT("I"&amp;J$5):I52)/$J$2)</f>
        <v>3.6672415134602274E-2</v>
      </c>
      <c r="J53" s="14">
        <f t="shared" ca="1" si="4"/>
        <v>7.2298583939544583E-4</v>
      </c>
      <c r="K53" s="14">
        <f ca="1">K52*K$5*(IF(ROW()&gt;9+$F$2,1,$E$2))*IF(ROW()&lt;=L$5, 1-$B$3-SUM(K$10:K52)/$J$2, (1-$B$3-SUM(K$10:INDIRECT("k"&amp;(L$5-1)))/$J$2)*(1-L$6*$D$2)-SUM(INDIRECT("k"&amp;L$5):K52)/$J$2)</f>
        <v>2.9478441742309741E-3</v>
      </c>
      <c r="L53" s="14">
        <f t="shared" ca="1" si="5"/>
        <v>5.9634401168561734E-5</v>
      </c>
    </row>
    <row r="54" spans="1:12" ht="10.95" customHeight="1" x14ac:dyDescent="0.3">
      <c r="A54" s="13">
        <f t="shared" si="6"/>
        <v>44</v>
      </c>
      <c r="B54" s="13">
        <f t="shared" si="7"/>
        <v>22</v>
      </c>
      <c r="C54" s="14">
        <f>C53*C$5*(IF(ROW()&gt;9+$F$2,1,$E$2))*(1-$B$3-SUM(C$10:C53)/$J$2)</f>
        <v>268457.00173593266</v>
      </c>
      <c r="D54" s="14">
        <f t="shared" si="1"/>
        <v>3162.1269936385424</v>
      </c>
      <c r="E54" s="14">
        <f>E53*E$5*(IF(ROW()&gt;9+$F$2,1,$E$2))*(1-$B$3-SUM(E$10:E53)/$J$2)</f>
        <v>254143.48606639975</v>
      </c>
      <c r="F54" s="14">
        <f t="shared" si="2"/>
        <v>2652.9746247876519</v>
      </c>
      <c r="G54" s="14">
        <f>G53*G$5*(IF(ROW()&gt;9+$F$2,1,$E$2))*(1-$B$3-SUM(G$10:G53)/$J$2)</f>
        <v>9.7742575585651123E-3</v>
      </c>
      <c r="H54" s="14">
        <f t="shared" si="3"/>
        <v>1.4472668582493015E-4</v>
      </c>
      <c r="I54" s="14">
        <f ca="1">I53*I$5*(IF(ROW()&gt;9+$F$2,1,$E$2))*IF(ROW()&lt;=J$5, 1-$B$3-SUM(I$10:I53)/$J$2, (1-$B$3-SUM(I$10:INDIRECT("I"&amp;(J$5-1)))/$J$2)*(1-J$6*$D$2)-SUM(INDIRECT("I"&amp;J$5):I53)/$J$2)</f>
        <v>1.8601554251417542E-2</v>
      </c>
      <c r="J54" s="14">
        <f t="shared" ca="1" si="4"/>
        <v>3.6672415134602276E-4</v>
      </c>
      <c r="K54" s="14">
        <f ca="1">K53*K$5*(IF(ROW()&gt;9+$F$2,1,$E$2))*IF(ROW()&lt;=L$5, 1-$B$3-SUM(K$10:K53)/$J$2, (1-$B$3-SUM(K$10:INDIRECT("k"&amp;(L$5-1)))/$J$2)*(1-L$6*$D$2)-SUM(INDIRECT("k"&amp;L$5):K53)/$J$2)</f>
        <v>1.4571765801452623E-3</v>
      </c>
      <c r="L54" s="14">
        <f t="shared" ca="1" si="5"/>
        <v>2.9478441742309742E-5</v>
      </c>
    </row>
    <row r="55" spans="1:12" ht="10.95" customHeight="1" x14ac:dyDescent="0.3">
      <c r="A55" s="13">
        <f t="shared" si="6"/>
        <v>45</v>
      </c>
      <c r="B55" s="13">
        <f t="shared" si="7"/>
        <v>22.5</v>
      </c>
      <c r="C55" s="14">
        <f>C54*C$5*(IF(ROW()&gt;9+$F$2,1,$E$2))*(1-$B$3-SUM(C$10:C54)/$J$2)</f>
        <v>227652.28128724394</v>
      </c>
      <c r="D55" s="14">
        <f t="shared" si="1"/>
        <v>2684.5700173593268</v>
      </c>
      <c r="E55" s="14">
        <f>E54*E$5*(IF(ROW()&gt;9+$F$2,1,$E$2))*(1-$B$3-SUM(E$10:E54)/$J$2)</f>
        <v>243251.6188229213</v>
      </c>
      <c r="F55" s="14">
        <f t="shared" si="2"/>
        <v>2541.4348606639974</v>
      </c>
      <c r="G55" s="14">
        <f>G54*G$5*(IF(ROW()&gt;9+$F$2,1,$E$2))*(1-$B$3-SUM(G$10:G54)/$J$2)</f>
        <v>6.6011399538167571E-3</v>
      </c>
      <c r="H55" s="14">
        <f t="shared" si="3"/>
        <v>9.7742575585651122E-5</v>
      </c>
      <c r="I55" s="14">
        <f ca="1">I54*I$5*(IF(ROW()&gt;9+$F$2,1,$E$2))*IF(ROW()&lt;=J$5, 1-$B$3-SUM(I$10:I54)/$J$2, (1-$B$3-SUM(I$10:INDIRECT("I"&amp;(J$5-1)))/$J$2)*(1-J$6*$D$2)-SUM(INDIRECT("I"&amp;J$5):I54)/$J$2)</f>
        <v>9.4353704072230905E-3</v>
      </c>
      <c r="J55" s="14">
        <f t="shared" ca="1" si="4"/>
        <v>1.8601554251417542E-4</v>
      </c>
      <c r="K55" s="14">
        <f ca="1">K54*K$5*(IF(ROW()&gt;9+$F$2,1,$E$2))*IF(ROW()&lt;=L$5, 1-$B$3-SUM(K$10:K54)/$J$2, (1-$B$3-SUM(K$10:INDIRECT("k"&amp;(L$5-1)))/$J$2)*(1-L$6*$D$2)-SUM(INDIRECT("k"&amp;L$5):K54)/$J$2)</f>
        <v>7.2031066101305521E-4</v>
      </c>
      <c r="L55" s="14">
        <f t="shared" ca="1" si="5"/>
        <v>1.4571765801452623E-5</v>
      </c>
    </row>
    <row r="56" spans="1:12" ht="10.95" customHeight="1" x14ac:dyDescent="0.3">
      <c r="A56" s="13">
        <f t="shared" si="6"/>
        <v>46</v>
      </c>
      <c r="B56" s="13">
        <f t="shared" si="7"/>
        <v>23</v>
      </c>
      <c r="C56" s="14">
        <f>C55*C$5*(IF(ROW()&gt;9+$F$2,1,$E$2))*(1-$B$3-SUM(C$10:C55)/$J$2)</f>
        <v>192861.87805806354</v>
      </c>
      <c r="D56" s="14">
        <f t="shared" si="1"/>
        <v>2276.5228128724393</v>
      </c>
      <c r="E56" s="14">
        <f>E55*E$5*(IF(ROW()&gt;9+$F$2,1,$E$2))*(1-$B$3-SUM(E$10:E55)/$J$2)</f>
        <v>232637.05470971303</v>
      </c>
      <c r="F56" s="14">
        <f t="shared" si="2"/>
        <v>2432.5161882292132</v>
      </c>
      <c r="G56" s="14">
        <f>G55*G$5*(IF(ROW()&gt;9+$F$2,1,$E$2))*(1-$B$3-SUM(G$10:G55)/$J$2)</f>
        <v>4.4581441022894536E-3</v>
      </c>
      <c r="H56" s="14">
        <f t="shared" si="3"/>
        <v>6.6011399538167567E-5</v>
      </c>
      <c r="I56" s="14">
        <f ca="1">I55*I$5*(IF(ROW()&gt;9+$F$2,1,$E$2))*IF(ROW()&lt;=J$5, 1-$B$3-SUM(I$10:I55)/$J$2, (1-$B$3-SUM(I$10:INDIRECT("I"&amp;(J$5-1)))/$J$2)*(1-J$6*$D$2)-SUM(INDIRECT("I"&amp;J$5):I55)/$J$2)</f>
        <v>4.7859557062933716E-3</v>
      </c>
      <c r="J56" s="14">
        <f t="shared" ca="1" si="4"/>
        <v>9.4353704072230906E-5</v>
      </c>
      <c r="K56" s="14">
        <f ca="1">K55*K$5*(IF(ROW()&gt;9+$F$2,1,$E$2))*IF(ROW()&lt;=L$5, 1-$B$3-SUM(K$10:K55)/$J$2, (1-$B$3-SUM(K$10:INDIRECT("k"&amp;(L$5-1)))/$J$2)*(1-L$6*$D$2)-SUM(INDIRECT("k"&amp;L$5):K55)/$J$2)</f>
        <v>3.5606353782801037E-4</v>
      </c>
      <c r="L56" s="14">
        <f t="shared" ca="1" si="5"/>
        <v>7.2031066101305521E-6</v>
      </c>
    </row>
    <row r="57" spans="1:12" ht="10.95" customHeight="1" x14ac:dyDescent="0.3">
      <c r="A57" s="13">
        <f t="shared" si="6"/>
        <v>47</v>
      </c>
      <c r="B57" s="13">
        <f t="shared" si="7"/>
        <v>23.5</v>
      </c>
      <c r="C57" s="14">
        <f>C56*C$5*(IF(ROW()&gt;9+$F$2,1,$E$2))*(1-$B$3-SUM(C$10:C56)/$J$2)</f>
        <v>163253.38465865669</v>
      </c>
      <c r="D57" s="14">
        <f t="shared" si="1"/>
        <v>1928.6187805806353</v>
      </c>
      <c r="E57" s="14">
        <f>E56*E$5*(IF(ROW()&gt;9+$F$2,1,$E$2))*(1-$B$3-SUM(E$10:E56)/$J$2)</f>
        <v>222312.35450660429</v>
      </c>
      <c r="F57" s="14">
        <f t="shared" si="2"/>
        <v>2326.3705470971304</v>
      </c>
      <c r="G57" s="14">
        <f>G56*G$5*(IF(ROW()&gt;9+$F$2,1,$E$2))*(1-$B$3-SUM(G$10:G56)/$J$2)</f>
        <v>3.0108510008198049E-3</v>
      </c>
      <c r="H57" s="14">
        <f t="shared" si="3"/>
        <v>4.458144102289454E-5</v>
      </c>
      <c r="I57" s="14">
        <f ca="1">I56*I$5*(IF(ROW()&gt;9+$F$2,1,$E$2))*IF(ROW()&lt;=J$5, 1-$B$3-SUM(I$10:I56)/$J$2, (1-$B$3-SUM(I$10:INDIRECT("I"&amp;(J$5-1)))/$J$2)*(1-J$6*$D$2)-SUM(INDIRECT("I"&amp;J$5):I56)/$J$2)</f>
        <v>2.4276070819947613E-3</v>
      </c>
      <c r="J57" s="14">
        <f t="shared" ca="1" si="4"/>
        <v>4.7859557062933715E-5</v>
      </c>
      <c r="K57" s="14">
        <f ca="1">K56*K$5*(IF(ROW()&gt;9+$F$2,1,$E$2))*IF(ROW()&lt;=L$5, 1-$B$3-SUM(K$10:K56)/$J$2, (1-$B$3-SUM(K$10:INDIRECT("k"&amp;(L$5-1)))/$J$2)*(1-L$6*$D$2)-SUM(INDIRECT("k"&amp;L$5):K56)/$J$2)</f>
        <v>1.760091163887531E-4</v>
      </c>
      <c r="L57" s="14">
        <f t="shared" ca="1" si="5"/>
        <v>3.5606353782801037E-6</v>
      </c>
    </row>
    <row r="58" spans="1:12" ht="10.95" customHeight="1" x14ac:dyDescent="0.3">
      <c r="A58" s="13">
        <f t="shared" si="6"/>
        <v>48</v>
      </c>
      <c r="B58" s="13">
        <f t="shared" si="7"/>
        <v>24</v>
      </c>
      <c r="C58" s="14">
        <f>C57*(C$5)*(1-$B$3-SUM(C$10:C57)/$J$2)</f>
        <v>138093.8166779578</v>
      </c>
      <c r="D58" s="14">
        <f t="shared" si="1"/>
        <v>1632.5338465865671</v>
      </c>
      <c r="E58" s="14">
        <f>E57*(E$5)*(1-$B$3-SUM(E$10:E57)/$J$2)</f>
        <v>212287.60402368632</v>
      </c>
      <c r="F58" s="14">
        <f t="shared" si="2"/>
        <v>2223.1235450660429</v>
      </c>
      <c r="G58" s="14">
        <f>G57*(G$5)*(1-$B$3-SUM(G$10:G57)/$J$2)</f>
        <v>2.0334075213936575E-3</v>
      </c>
      <c r="H58" s="14">
        <f t="shared" si="3"/>
        <v>3.0108510008198048E-5</v>
      </c>
      <c r="I58" s="14">
        <f ca="1">I57*(I$5)*IF(ROW()&lt;=J$5, 1-$B$3-SUM(I$10:I57)/$J$2, (1-$B$3-SUM(I$10:INDIRECT("I"&amp;(J$5-1)))/$J$2)*(1-J$6*$D$2)-SUM(INDIRECT("I"&amp;J$5):I57)/$J$2)</f>
        <v>1.231368718414883E-3</v>
      </c>
      <c r="J58" s="14">
        <f t="shared" ca="1" si="4"/>
        <v>2.4276070819947613E-5</v>
      </c>
      <c r="K58" s="14">
        <f ca="1">K57*(K$5)*IF(ROW()&lt;=L$5, 1-$B$3-SUM(K$10:K57)/$J$2, (1-$B$3-SUM(K$10:INDIRECT("K"&amp;(L$5-1)))/$J$2)*(1-L$6*$D$2)-SUM(INDIRECT("K"&amp;L$5):K57)/$J$2)</f>
        <v>8.700472180018113E-5</v>
      </c>
      <c r="L58" s="14">
        <f t="shared" ca="1" si="5"/>
        <v>1.760091163887531E-6</v>
      </c>
    </row>
    <row r="60" spans="1:12" x14ac:dyDescent="0.3">
      <c r="A60" t="s">
        <v>143</v>
      </c>
    </row>
    <row r="61" spans="1:12" x14ac:dyDescent="0.3">
      <c r="A61" t="s">
        <v>7</v>
      </c>
    </row>
    <row r="62" spans="1:12" x14ac:dyDescent="0.3">
      <c r="A62" t="s">
        <v>6</v>
      </c>
    </row>
    <row r="63" spans="1:12" x14ac:dyDescent="0.3">
      <c r="A63" t="s">
        <v>10</v>
      </c>
    </row>
    <row r="64" spans="1:12" x14ac:dyDescent="0.3">
      <c r="A64" t="s">
        <v>23</v>
      </c>
    </row>
    <row r="65" spans="1:1" s="4" customFormat="1" x14ac:dyDescent="0.3">
      <c r="A65" s="4" t="s">
        <v>116</v>
      </c>
    </row>
    <row r="66" spans="1:1" s="4" customFormat="1" x14ac:dyDescent="0.3">
      <c r="A66" s="4" t="s">
        <v>113</v>
      </c>
    </row>
    <row r="67" spans="1:1" s="4" customFormat="1" x14ac:dyDescent="0.3">
      <c r="A67" s="4" t="s">
        <v>144</v>
      </c>
    </row>
    <row r="68" spans="1:1" s="4" customFormat="1" x14ac:dyDescent="0.3">
      <c r="A68" s="4" t="s">
        <v>114</v>
      </c>
    </row>
    <row r="69" spans="1:1" s="4" customFormat="1" x14ac:dyDescent="0.3">
      <c r="A69" s="4" t="s">
        <v>115</v>
      </c>
    </row>
    <row r="70" spans="1:1" s="4" customFormat="1" x14ac:dyDescent="0.3">
      <c r="A70" s="4" t="s">
        <v>11</v>
      </c>
    </row>
    <row r="71" spans="1:1" x14ac:dyDescent="0.3">
      <c r="A71" s="4" t="s">
        <v>24</v>
      </c>
    </row>
    <row r="72" spans="1:1" x14ac:dyDescent="0.3">
      <c r="A72" s="4" t="s">
        <v>25</v>
      </c>
    </row>
    <row r="73" spans="1:1" x14ac:dyDescent="0.3">
      <c r="A73" s="4" t="s">
        <v>118</v>
      </c>
    </row>
    <row r="74" spans="1:1" x14ac:dyDescent="0.3">
      <c r="A74" s="4" t="s">
        <v>13</v>
      </c>
    </row>
    <row r="75" spans="1:1" x14ac:dyDescent="0.3">
      <c r="A75" s="4" t="s">
        <v>117</v>
      </c>
    </row>
    <row r="76" spans="1:1" x14ac:dyDescent="0.3">
      <c r="A76" s="4" t="s">
        <v>12</v>
      </c>
    </row>
    <row r="77" spans="1:1" x14ac:dyDescent="0.3">
      <c r="A77" s="4"/>
    </row>
    <row r="78" spans="1:1" x14ac:dyDescent="0.3">
      <c r="A78" t="s">
        <v>18</v>
      </c>
    </row>
  </sheetData>
  <mergeCells count="7">
    <mergeCell ref="K2:L3"/>
    <mergeCell ref="K1:L1"/>
    <mergeCell ref="C4:D4"/>
    <mergeCell ref="E4:F4"/>
    <mergeCell ref="G4:H4"/>
    <mergeCell ref="I4:J4"/>
    <mergeCell ref="K4:L4"/>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7"/>
  <sheetViews>
    <sheetView workbookViewId="0"/>
  </sheetViews>
  <sheetFormatPr defaultRowHeight="14.4" x14ac:dyDescent="0.3"/>
  <cols>
    <col min="1" max="1" width="83.33203125" style="30" customWidth="1"/>
  </cols>
  <sheetData>
    <row r="1" spans="1:1" ht="15.6" x14ac:dyDescent="0.3">
      <c r="A1" s="29" t="s">
        <v>27</v>
      </c>
    </row>
    <row r="2" spans="1:1" ht="13.95" customHeight="1" x14ac:dyDescent="0.3"/>
    <row r="3" spans="1:1" s="25" customFormat="1" ht="13.8" x14ac:dyDescent="0.3">
      <c r="A3" s="31" t="s">
        <v>122</v>
      </c>
    </row>
    <row r="4" spans="1:1" s="25" customFormat="1" x14ac:dyDescent="0.3">
      <c r="A4" s="32" t="s">
        <v>123</v>
      </c>
    </row>
    <row r="5" spans="1:1" x14ac:dyDescent="0.3">
      <c r="A5" s="31" t="s">
        <v>124</v>
      </c>
    </row>
    <row r="6" spans="1:1" ht="13.95" customHeight="1" x14ac:dyDescent="0.3">
      <c r="A6" s="32" t="s">
        <v>125</v>
      </c>
    </row>
    <row r="7" spans="1:1" ht="13.95" customHeight="1" x14ac:dyDescent="0.3">
      <c r="A7" s="31"/>
    </row>
    <row r="8" spans="1:1" ht="42" customHeight="1" x14ac:dyDescent="0.3">
      <c r="A8" s="33" t="s">
        <v>145</v>
      </c>
    </row>
    <row r="9" spans="1:1" ht="13.95" customHeight="1" x14ac:dyDescent="0.3">
      <c r="A9" s="33" t="s">
        <v>146</v>
      </c>
    </row>
    <row r="10" spans="1:1" ht="28.05" customHeight="1" x14ac:dyDescent="0.3">
      <c r="A10" s="33" t="s">
        <v>147</v>
      </c>
    </row>
    <row r="11" spans="1:1" ht="13.95" customHeight="1" x14ac:dyDescent="0.3">
      <c r="A11" s="33" t="s">
        <v>148</v>
      </c>
    </row>
    <row r="12" spans="1:1" ht="28.05" customHeight="1" x14ac:dyDescent="0.3">
      <c r="A12" s="33" t="s">
        <v>149</v>
      </c>
    </row>
    <row r="13" spans="1:1" ht="84" customHeight="1" x14ac:dyDescent="0.3">
      <c r="A13" s="37" t="s">
        <v>150</v>
      </c>
    </row>
    <row r="14" spans="1:1" x14ac:dyDescent="0.3">
      <c r="A14" s="33"/>
    </row>
    <row r="15" spans="1:1" ht="100.05" customHeight="1" x14ac:dyDescent="0.3">
      <c r="A15" s="33" t="s">
        <v>157</v>
      </c>
    </row>
    <row r="16" spans="1:1" x14ac:dyDescent="0.3">
      <c r="A16" s="33"/>
    </row>
    <row r="17" spans="1:1" ht="28.05" customHeight="1" x14ac:dyDescent="0.3">
      <c r="A17" s="33" t="s">
        <v>19</v>
      </c>
    </row>
    <row r="18" spans="1:1" x14ac:dyDescent="0.3">
      <c r="A18" s="33"/>
    </row>
    <row r="19" spans="1:1" x14ac:dyDescent="0.3">
      <c r="A19" s="33" t="s">
        <v>28</v>
      </c>
    </row>
    <row r="20" spans="1:1" ht="13.95" customHeight="1" x14ac:dyDescent="0.3">
      <c r="A20" s="33" t="s">
        <v>137</v>
      </c>
    </row>
    <row r="21" spans="1:1" ht="55.95" customHeight="1" x14ac:dyDescent="0.3">
      <c r="A21" s="33" t="s">
        <v>138</v>
      </c>
    </row>
    <row r="22" spans="1:1" ht="28.05" customHeight="1" x14ac:dyDescent="0.3">
      <c r="A22" s="33" t="s">
        <v>139</v>
      </c>
    </row>
    <row r="23" spans="1:1" ht="28.05" customHeight="1" x14ac:dyDescent="0.3">
      <c r="A23" s="33" t="s">
        <v>133</v>
      </c>
    </row>
    <row r="24" spans="1:1" ht="28.05" customHeight="1" x14ac:dyDescent="0.3">
      <c r="A24" s="33" t="s">
        <v>134</v>
      </c>
    </row>
    <row r="25" spans="1:1" ht="13.95" customHeight="1" x14ac:dyDescent="0.3">
      <c r="A25" s="33" t="s">
        <v>135</v>
      </c>
    </row>
    <row r="26" spans="1:1" x14ac:dyDescent="0.3">
      <c r="A26" s="33"/>
    </row>
    <row r="27" spans="1:1" ht="28.05" customHeight="1" x14ac:dyDescent="0.3">
      <c r="A27" s="33" t="s">
        <v>29</v>
      </c>
    </row>
    <row r="28" spans="1:1" ht="42" customHeight="1" x14ac:dyDescent="0.3">
      <c r="A28" s="33" t="s">
        <v>155</v>
      </c>
    </row>
    <row r="29" spans="1:1" x14ac:dyDescent="0.3">
      <c r="A29" s="33" t="s">
        <v>30</v>
      </c>
    </row>
    <row r="30" spans="1:1" ht="28.8" x14ac:dyDescent="0.3">
      <c r="A30" s="33" t="s">
        <v>108</v>
      </c>
    </row>
    <row r="31" spans="1:1" ht="28.8" x14ac:dyDescent="0.3">
      <c r="A31" s="33" t="s">
        <v>109</v>
      </c>
    </row>
    <row r="32" spans="1:1" ht="42" customHeight="1" x14ac:dyDescent="0.3">
      <c r="A32" s="33" t="s">
        <v>107</v>
      </c>
    </row>
    <row r="33" spans="1:1" ht="42" customHeight="1" x14ac:dyDescent="0.3">
      <c r="A33" s="33" t="s">
        <v>158</v>
      </c>
    </row>
    <row r="34" spans="1:1" x14ac:dyDescent="0.3">
      <c r="A34" s="33"/>
    </row>
    <row r="35" spans="1:1" ht="28.8" x14ac:dyDescent="0.3">
      <c r="A35" s="33" t="s">
        <v>119</v>
      </c>
    </row>
    <row r="36" spans="1:1" x14ac:dyDescent="0.3">
      <c r="A36" s="33"/>
    </row>
    <row r="37" spans="1:1" x14ac:dyDescent="0.3">
      <c r="A37" s="33" t="s">
        <v>105</v>
      </c>
    </row>
    <row r="38" spans="1:1" x14ac:dyDescent="0.3">
      <c r="A38" s="33" t="s">
        <v>106</v>
      </c>
    </row>
    <row r="39" spans="1:1" ht="30" x14ac:dyDescent="0.3">
      <c r="A39" s="33" t="s">
        <v>156</v>
      </c>
    </row>
    <row r="40" spans="1:1" x14ac:dyDescent="0.3">
      <c r="A40" s="33" t="s">
        <v>126</v>
      </c>
    </row>
    <row r="41" spans="1:1" ht="30" x14ac:dyDescent="0.3">
      <c r="A41" s="33" t="s">
        <v>140</v>
      </c>
    </row>
    <row r="42" spans="1:1" x14ac:dyDescent="0.3">
      <c r="A42" s="33" t="s">
        <v>127</v>
      </c>
    </row>
    <row r="43" spans="1:1" x14ac:dyDescent="0.3">
      <c r="A43" s="33" t="s">
        <v>128</v>
      </c>
    </row>
    <row r="44" spans="1:1" x14ac:dyDescent="0.3">
      <c r="A44" s="33" t="s">
        <v>129</v>
      </c>
    </row>
    <row r="45" spans="1:1" x14ac:dyDescent="0.3">
      <c r="A45" s="33" t="s">
        <v>130</v>
      </c>
    </row>
    <row r="46" spans="1:1" ht="43.2" x14ac:dyDescent="0.3">
      <c r="A46" s="33" t="s">
        <v>31</v>
      </c>
    </row>
    <row r="47" spans="1:1" ht="28.8" x14ac:dyDescent="0.3">
      <c r="A47" s="33" t="s">
        <v>131</v>
      </c>
    </row>
    <row r="48" spans="1:1" x14ac:dyDescent="0.3">
      <c r="A48" s="33"/>
    </row>
    <row r="49" spans="1:1" ht="13.95" customHeight="1" x14ac:dyDescent="0.3">
      <c r="A49" s="33" t="s">
        <v>141</v>
      </c>
    </row>
    <row r="50" spans="1:1" x14ac:dyDescent="0.3">
      <c r="A50" s="33"/>
    </row>
    <row r="51" spans="1:1" ht="28.8" x14ac:dyDescent="0.3">
      <c r="A51" s="33" t="s">
        <v>120</v>
      </c>
    </row>
    <row r="52" spans="1:1" ht="13.95" customHeight="1" x14ac:dyDescent="0.3">
      <c r="A52" s="33"/>
    </row>
    <row r="53" spans="1:1" x14ac:dyDescent="0.3">
      <c r="A53" s="33" t="s">
        <v>121</v>
      </c>
    </row>
    <row r="54" spans="1:1" ht="13.95" customHeight="1" x14ac:dyDescent="0.3">
      <c r="A54" s="33"/>
    </row>
    <row r="55" spans="1:1" ht="42" customHeight="1" x14ac:dyDescent="0.3">
      <c r="A55" s="33" t="s">
        <v>151</v>
      </c>
    </row>
    <row r="56" spans="1:1" ht="13.95" customHeight="1" x14ac:dyDescent="0.3">
      <c r="A56" s="32" t="s">
        <v>20</v>
      </c>
    </row>
    <row r="57" spans="1:1" x14ac:dyDescent="0.3">
      <c r="A57" s="33"/>
    </row>
    <row r="58" spans="1:1" ht="42" customHeight="1" x14ac:dyDescent="0.3">
      <c r="A58" s="33" t="s">
        <v>152</v>
      </c>
    </row>
    <row r="59" spans="1:1" x14ac:dyDescent="0.3">
      <c r="A59" s="33"/>
    </row>
    <row r="60" spans="1:1" ht="28.05" customHeight="1" x14ac:dyDescent="0.3">
      <c r="A60" s="33" t="s">
        <v>136</v>
      </c>
    </row>
    <row r="61" spans="1:1" x14ac:dyDescent="0.3">
      <c r="A61" s="33"/>
    </row>
    <row r="62" spans="1:1" ht="42" customHeight="1" x14ac:dyDescent="0.3">
      <c r="A62" s="33" t="s">
        <v>132</v>
      </c>
    </row>
    <row r="63" spans="1:1" x14ac:dyDescent="0.3">
      <c r="A63" s="33"/>
    </row>
    <row r="64" spans="1:1" x14ac:dyDescent="0.3">
      <c r="A64" s="33" t="s">
        <v>21</v>
      </c>
    </row>
    <row r="65" spans="1:1" x14ac:dyDescent="0.3">
      <c r="A65" s="33" t="s">
        <v>153</v>
      </c>
    </row>
    <row r="66" spans="1:1" x14ac:dyDescent="0.3">
      <c r="A66" s="33" t="s">
        <v>154</v>
      </c>
    </row>
    <row r="67" spans="1:1" x14ac:dyDescent="0.3">
      <c r="A67" s="33"/>
    </row>
  </sheetData>
  <hyperlinks>
    <hyperlink ref="A4" r:id="rId1"/>
    <hyperlink ref="A6" r:id="rId2"/>
    <hyperlink ref="A56" r:id="rId3" display="http://columbia.edu/~jls106/yamana_etal_reopening_projections.pdf"/>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E7" sqref="E7"/>
    </sheetView>
  </sheetViews>
  <sheetFormatPr defaultRowHeight="14.4" x14ac:dyDescent="0.3"/>
  <sheetData>
    <row r="1" spans="1:5" ht="31.8" x14ac:dyDescent="0.3">
      <c r="A1" t="s">
        <v>45</v>
      </c>
      <c r="B1" s="6" t="s">
        <v>46</v>
      </c>
      <c r="C1" s="6" t="s">
        <v>47</v>
      </c>
      <c r="D1" s="6" t="s">
        <v>48</v>
      </c>
    </row>
    <row r="2" spans="1:5" x14ac:dyDescent="0.3">
      <c r="A2" t="s">
        <v>43</v>
      </c>
      <c r="B2" s="21">
        <v>331000000</v>
      </c>
      <c r="C2" s="5">
        <v>100000</v>
      </c>
      <c r="D2" s="5">
        <v>700</v>
      </c>
      <c r="E2" t="s">
        <v>101</v>
      </c>
    </row>
    <row r="3" spans="1:5" x14ac:dyDescent="0.3">
      <c r="A3" t="s">
        <v>49</v>
      </c>
      <c r="B3">
        <v>4908621</v>
      </c>
      <c r="C3">
        <v>498</v>
      </c>
      <c r="D3">
        <v>5.4</v>
      </c>
      <c r="E3" t="s">
        <v>103</v>
      </c>
    </row>
    <row r="4" spans="1:5" x14ac:dyDescent="0.3">
      <c r="A4" t="s">
        <v>50</v>
      </c>
      <c r="B4">
        <v>734002</v>
      </c>
      <c r="C4">
        <v>0</v>
      </c>
      <c r="D4">
        <v>1</v>
      </c>
      <c r="E4" t="s">
        <v>102</v>
      </c>
    </row>
    <row r="5" spans="1:5" x14ac:dyDescent="0.3">
      <c r="A5" t="s">
        <v>51</v>
      </c>
      <c r="B5">
        <v>7378494</v>
      </c>
      <c r="C5">
        <v>621</v>
      </c>
      <c r="D5">
        <v>8.1</v>
      </c>
      <c r="E5" t="s">
        <v>104</v>
      </c>
    </row>
    <row r="6" spans="1:5" x14ac:dyDescent="0.3">
      <c r="A6" t="s">
        <v>52</v>
      </c>
      <c r="B6">
        <v>3038999</v>
      </c>
      <c r="C6">
        <v>67</v>
      </c>
      <c r="D6">
        <v>1</v>
      </c>
    </row>
    <row r="7" spans="1:5" x14ac:dyDescent="0.3">
      <c r="A7" t="s">
        <v>53</v>
      </c>
      <c r="B7">
        <v>39937489</v>
      </c>
      <c r="C7">
        <v>2798</v>
      </c>
      <c r="D7">
        <v>25.1</v>
      </c>
    </row>
    <row r="8" spans="1:5" x14ac:dyDescent="0.3">
      <c r="A8" t="s">
        <v>54</v>
      </c>
      <c r="B8">
        <v>5845526</v>
      </c>
      <c r="C8">
        <v>1159</v>
      </c>
      <c r="D8">
        <v>8</v>
      </c>
    </row>
    <row r="9" spans="1:5" x14ac:dyDescent="0.3">
      <c r="A9" t="s">
        <v>55</v>
      </c>
      <c r="B9">
        <v>3563077</v>
      </c>
      <c r="C9">
        <v>1335</v>
      </c>
      <c r="D9">
        <v>1</v>
      </c>
    </row>
    <row r="10" spans="1:5" x14ac:dyDescent="0.3">
      <c r="A10" t="s">
        <v>56</v>
      </c>
      <c r="B10">
        <v>982895</v>
      </c>
      <c r="C10">
        <v>222</v>
      </c>
      <c r="D10">
        <v>2.4</v>
      </c>
    </row>
    <row r="11" spans="1:5" x14ac:dyDescent="0.3">
      <c r="A11" t="s">
        <v>57</v>
      </c>
      <c r="B11">
        <v>720687</v>
      </c>
      <c r="C11">
        <v>274</v>
      </c>
      <c r="D11">
        <v>1.7</v>
      </c>
    </row>
    <row r="12" spans="1:5" x14ac:dyDescent="0.3">
      <c r="A12" t="s">
        <v>58</v>
      </c>
      <c r="B12">
        <v>21992985</v>
      </c>
      <c r="C12">
        <v>1923</v>
      </c>
      <c r="D12">
        <v>20</v>
      </c>
    </row>
    <row r="13" spans="1:5" x14ac:dyDescent="0.3">
      <c r="A13" t="s">
        <v>59</v>
      </c>
      <c r="B13">
        <v>10736059</v>
      </c>
      <c r="C13">
        <v>1328</v>
      </c>
      <c r="D13">
        <v>9.3000000000000007</v>
      </c>
    </row>
    <row r="14" spans="1:5" x14ac:dyDescent="0.3">
      <c r="A14" t="s">
        <v>60</v>
      </c>
      <c r="B14">
        <v>1412687</v>
      </c>
      <c r="C14">
        <v>0</v>
      </c>
      <c r="D14">
        <v>1</v>
      </c>
    </row>
    <row r="15" spans="1:5" x14ac:dyDescent="0.3">
      <c r="A15" t="s">
        <v>61</v>
      </c>
      <c r="B15">
        <v>1826156</v>
      </c>
      <c r="C15">
        <v>45</v>
      </c>
      <c r="D15">
        <v>1</v>
      </c>
    </row>
    <row r="16" spans="1:5" x14ac:dyDescent="0.3">
      <c r="A16" t="s">
        <v>62</v>
      </c>
      <c r="B16">
        <v>12659682</v>
      </c>
      <c r="C16">
        <v>3684</v>
      </c>
      <c r="D16">
        <v>53.4</v>
      </c>
    </row>
    <row r="17" spans="1:4" x14ac:dyDescent="0.3">
      <c r="A17" t="s">
        <v>63</v>
      </c>
      <c r="B17">
        <v>6745354</v>
      </c>
      <c r="C17">
        <v>1523</v>
      </c>
      <c r="D17">
        <v>13.9</v>
      </c>
    </row>
    <row r="18" spans="1:4" x14ac:dyDescent="0.3">
      <c r="A18" t="s">
        <v>64</v>
      </c>
      <c r="B18">
        <v>3179849</v>
      </c>
      <c r="C18">
        <v>316</v>
      </c>
      <c r="D18">
        <v>8.6999999999999993</v>
      </c>
    </row>
    <row r="19" spans="1:4" x14ac:dyDescent="0.3">
      <c r="A19" t="s">
        <v>65</v>
      </c>
      <c r="B19">
        <v>2910357</v>
      </c>
      <c r="C19">
        <v>169</v>
      </c>
      <c r="D19">
        <v>2.1</v>
      </c>
    </row>
    <row r="20" spans="1:4" x14ac:dyDescent="0.3">
      <c r="A20" t="s">
        <v>66</v>
      </c>
      <c r="B20">
        <v>4499692</v>
      </c>
      <c r="C20">
        <v>300</v>
      </c>
      <c r="D20">
        <v>2</v>
      </c>
    </row>
    <row r="21" spans="1:4" x14ac:dyDescent="0.3">
      <c r="A21" t="s">
        <v>67</v>
      </c>
      <c r="B21">
        <v>4645184</v>
      </c>
      <c r="C21">
        <v>1925</v>
      </c>
      <c r="D21">
        <v>7.6</v>
      </c>
    </row>
    <row r="22" spans="1:4" x14ac:dyDescent="0.3">
      <c r="A22" t="s">
        <v>68</v>
      </c>
      <c r="B22">
        <v>1345790</v>
      </c>
      <c r="C22">
        <v>49</v>
      </c>
      <c r="D22">
        <v>1.4</v>
      </c>
    </row>
    <row r="23" spans="1:4" x14ac:dyDescent="0.3">
      <c r="A23" t="s">
        <v>69</v>
      </c>
      <c r="B23">
        <v>6083116</v>
      </c>
      <c r="C23">
        <v>2001</v>
      </c>
      <c r="D23">
        <v>37.299999999999997</v>
      </c>
    </row>
    <row r="24" spans="1:4" x14ac:dyDescent="0.3">
      <c r="A24" t="s">
        <v>70</v>
      </c>
      <c r="B24">
        <v>6976597</v>
      </c>
      <c r="C24">
        <v>5545</v>
      </c>
      <c r="D24">
        <v>86.4</v>
      </c>
    </row>
    <row r="25" spans="1:4" x14ac:dyDescent="0.3">
      <c r="A25" t="s">
        <v>71</v>
      </c>
      <c r="B25">
        <v>10045029</v>
      </c>
      <c r="C25">
        <v>3975</v>
      </c>
      <c r="D25">
        <v>6.6</v>
      </c>
    </row>
    <row r="26" spans="1:4" x14ac:dyDescent="0.3">
      <c r="A26" t="s">
        <v>72</v>
      </c>
      <c r="B26">
        <v>5700671</v>
      </c>
      <c r="C26">
        <v>712</v>
      </c>
      <c r="D26">
        <v>18.100000000000001</v>
      </c>
    </row>
    <row r="27" spans="1:4" x14ac:dyDescent="0.3">
      <c r="A27" t="s">
        <v>73</v>
      </c>
      <c r="B27">
        <v>2989260</v>
      </c>
      <c r="C27">
        <v>469</v>
      </c>
      <c r="D27">
        <v>8.9</v>
      </c>
    </row>
    <row r="28" spans="1:4" x14ac:dyDescent="0.3">
      <c r="A28" t="s">
        <v>74</v>
      </c>
      <c r="B28">
        <v>6169270</v>
      </c>
      <c r="C28">
        <v>542</v>
      </c>
      <c r="D28">
        <v>5.4</v>
      </c>
    </row>
    <row r="29" spans="1:4" x14ac:dyDescent="0.3">
      <c r="A29" t="s">
        <v>75</v>
      </c>
      <c r="B29">
        <v>1086759</v>
      </c>
      <c r="C29">
        <v>0</v>
      </c>
      <c r="D29">
        <v>1</v>
      </c>
    </row>
    <row r="30" spans="1:4" x14ac:dyDescent="0.3">
      <c r="A30" t="s">
        <v>76</v>
      </c>
      <c r="B30">
        <v>1952570</v>
      </c>
      <c r="C30">
        <v>100</v>
      </c>
      <c r="D30">
        <v>1.9</v>
      </c>
    </row>
    <row r="31" spans="1:4" x14ac:dyDescent="0.3">
      <c r="A31" t="s">
        <v>77</v>
      </c>
      <c r="B31">
        <v>3139658</v>
      </c>
      <c r="C31">
        <v>314</v>
      </c>
      <c r="D31">
        <v>2.6</v>
      </c>
    </row>
    <row r="32" spans="1:4" x14ac:dyDescent="0.3">
      <c r="A32" t="s">
        <v>78</v>
      </c>
      <c r="B32">
        <v>1371246</v>
      </c>
      <c r="C32">
        <v>172</v>
      </c>
      <c r="D32">
        <v>5.6</v>
      </c>
    </row>
    <row r="33" spans="1:4" x14ac:dyDescent="0.3">
      <c r="A33" t="s">
        <v>79</v>
      </c>
      <c r="B33">
        <v>8936574</v>
      </c>
      <c r="C33">
        <v>10654</v>
      </c>
      <c r="D33">
        <v>76.3</v>
      </c>
    </row>
    <row r="34" spans="1:4" x14ac:dyDescent="0.3">
      <c r="A34" t="s">
        <v>80</v>
      </c>
      <c r="B34">
        <v>2096640</v>
      </c>
      <c r="C34">
        <v>209</v>
      </c>
      <c r="D34">
        <v>3.9</v>
      </c>
    </row>
    <row r="35" spans="1:4" x14ac:dyDescent="0.3">
      <c r="A35" t="s">
        <v>81</v>
      </c>
      <c r="B35">
        <v>19440469</v>
      </c>
      <c r="C35">
        <v>26393</v>
      </c>
      <c r="D35">
        <v>153.1</v>
      </c>
    </row>
    <row r="36" spans="1:4" x14ac:dyDescent="0.3">
      <c r="A36" t="s">
        <v>82</v>
      </c>
      <c r="B36">
        <v>10611862</v>
      </c>
      <c r="C36">
        <v>327</v>
      </c>
      <c r="D36">
        <v>1.4</v>
      </c>
    </row>
    <row r="37" spans="1:4" x14ac:dyDescent="0.3">
      <c r="A37" t="s">
        <v>83</v>
      </c>
      <c r="B37">
        <v>761723</v>
      </c>
      <c r="C37">
        <v>0</v>
      </c>
      <c r="D37">
        <v>1</v>
      </c>
    </row>
    <row r="38" spans="1:4" x14ac:dyDescent="0.3">
      <c r="A38" t="s">
        <v>84</v>
      </c>
      <c r="B38">
        <v>11747694</v>
      </c>
      <c r="C38">
        <v>1279</v>
      </c>
      <c r="D38">
        <v>10.7</v>
      </c>
    </row>
    <row r="39" spans="1:4" x14ac:dyDescent="0.3">
      <c r="A39" t="s">
        <v>85</v>
      </c>
      <c r="B39">
        <v>3954821</v>
      </c>
      <c r="C39">
        <v>219</v>
      </c>
      <c r="D39">
        <v>1</v>
      </c>
    </row>
    <row r="40" spans="1:4" x14ac:dyDescent="0.3">
      <c r="A40" t="s">
        <v>86</v>
      </c>
      <c r="B40">
        <v>4301089</v>
      </c>
      <c r="C40">
        <v>140</v>
      </c>
      <c r="D40">
        <v>1</v>
      </c>
    </row>
    <row r="41" spans="1:4" x14ac:dyDescent="0.3">
      <c r="A41" t="s">
        <v>87</v>
      </c>
      <c r="B41">
        <v>12820878</v>
      </c>
      <c r="C41">
        <v>4773</v>
      </c>
      <c r="D41">
        <v>69.599999999999994</v>
      </c>
    </row>
    <row r="42" spans="1:4" x14ac:dyDescent="0.3">
      <c r="A42" t="s">
        <v>88</v>
      </c>
      <c r="B42">
        <v>3032165</v>
      </c>
      <c r="C42">
        <v>108</v>
      </c>
      <c r="D42">
        <v>1</v>
      </c>
    </row>
    <row r="43" spans="1:4" x14ac:dyDescent="0.3">
      <c r="A43" t="s">
        <v>89</v>
      </c>
      <c r="B43">
        <v>1056161</v>
      </c>
      <c r="C43">
        <v>406</v>
      </c>
      <c r="D43">
        <v>3</v>
      </c>
    </row>
    <row r="44" spans="1:4" x14ac:dyDescent="0.3">
      <c r="A44" t="s">
        <v>90</v>
      </c>
      <c r="B44">
        <v>5210095</v>
      </c>
      <c r="C44">
        <v>359</v>
      </c>
      <c r="D44">
        <v>5.0999999999999996</v>
      </c>
    </row>
    <row r="45" spans="1:4" x14ac:dyDescent="0.3">
      <c r="A45" t="s">
        <v>91</v>
      </c>
      <c r="B45">
        <v>903027</v>
      </c>
      <c r="C45">
        <v>30</v>
      </c>
      <c r="D45">
        <v>1</v>
      </c>
    </row>
    <row r="46" spans="1:4" x14ac:dyDescent="0.3">
      <c r="A46" t="s">
        <v>92</v>
      </c>
      <c r="B46">
        <v>6897576</v>
      </c>
      <c r="C46">
        <v>257</v>
      </c>
      <c r="D46">
        <v>3.1</v>
      </c>
    </row>
    <row r="47" spans="1:4" x14ac:dyDescent="0.3">
      <c r="A47" t="s">
        <v>93</v>
      </c>
      <c r="B47">
        <v>29472295</v>
      </c>
      <c r="C47">
        <v>1205</v>
      </c>
      <c r="D47">
        <v>10.1</v>
      </c>
    </row>
    <row r="48" spans="1:4" x14ac:dyDescent="0.3">
      <c r="A48" t="s">
        <v>94</v>
      </c>
      <c r="B48">
        <v>3282115</v>
      </c>
      <c r="C48">
        <v>54</v>
      </c>
      <c r="D48">
        <v>1</v>
      </c>
    </row>
    <row r="49" spans="1:4" x14ac:dyDescent="0.3">
      <c r="A49" t="s">
        <v>95</v>
      </c>
      <c r="B49">
        <v>628061</v>
      </c>
      <c r="C49">
        <v>11</v>
      </c>
      <c r="D49">
        <v>1</v>
      </c>
    </row>
    <row r="50" spans="1:4" x14ac:dyDescent="0.3">
      <c r="A50" t="s">
        <v>96</v>
      </c>
      <c r="B50">
        <v>8626207</v>
      </c>
      <c r="C50">
        <v>1074</v>
      </c>
      <c r="D50">
        <v>18.3</v>
      </c>
    </row>
    <row r="51" spans="1:4" x14ac:dyDescent="0.3">
      <c r="A51" t="s">
        <v>97</v>
      </c>
      <c r="B51">
        <v>7797095</v>
      </c>
      <c r="C51">
        <v>911</v>
      </c>
      <c r="D51">
        <v>6.4</v>
      </c>
    </row>
    <row r="52" spans="1:4" x14ac:dyDescent="0.3">
      <c r="A52" t="s">
        <v>98</v>
      </c>
      <c r="B52">
        <v>1778070</v>
      </c>
      <c r="C52">
        <v>40</v>
      </c>
      <c r="D52">
        <v>1</v>
      </c>
    </row>
    <row r="53" spans="1:4" x14ac:dyDescent="0.3">
      <c r="A53" t="s">
        <v>99</v>
      </c>
      <c r="B53">
        <v>5851754</v>
      </c>
      <c r="C53">
        <v>443</v>
      </c>
      <c r="D53">
        <v>5.0999999999999996</v>
      </c>
    </row>
    <row r="54" spans="1:4" x14ac:dyDescent="0.3">
      <c r="A54" t="s">
        <v>100</v>
      </c>
      <c r="B54">
        <v>567025</v>
      </c>
      <c r="C54">
        <v>0</v>
      </c>
      <c r="D54">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reopen</vt:lpstr>
      <vt:lpstr>description</vt:lpstr>
      <vt:lpstr>stats</vt:lpstr>
    </vt:vector>
  </TitlesOfParts>
  <Company>Columbia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Sekhar Ramakrishnan</dc:creator>
  <cp:lastModifiedBy>Sekhar Ramakrishnan</cp:lastModifiedBy>
  <cp:lastPrinted>2020-05-23T06:33:21Z</cp:lastPrinted>
  <dcterms:created xsi:type="dcterms:W3CDTF">2020-05-16T16:43:27Z</dcterms:created>
  <dcterms:modified xsi:type="dcterms:W3CDTF">2020-06-15T06:31:48Z</dcterms:modified>
</cp:coreProperties>
</file>